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0730" windowHeight="11160"/>
  </bookViews>
  <sheets>
    <sheet name="льготники 11 старше " sheetId="4" r:id="rId1"/>
  </sheets>
  <calcPr calcId="162913"/>
</workbook>
</file>

<file path=xl/calcChain.xml><?xml version="1.0" encoding="utf-8"?>
<calcChain xmlns="http://schemas.openxmlformats.org/spreadsheetml/2006/main">
  <c r="N68" i="4" l="1"/>
  <c r="N74" i="4" s="1"/>
  <c r="M68" i="4"/>
  <c r="M74" i="4" s="1"/>
  <c r="L68" i="4"/>
  <c r="L74" i="4" s="1"/>
  <c r="K68" i="4"/>
  <c r="K74" i="4" s="1"/>
  <c r="I68" i="4"/>
  <c r="I74" i="4" s="1"/>
  <c r="H68" i="4"/>
  <c r="H74" i="4" s="1"/>
  <c r="G68" i="4"/>
  <c r="G74" i="4" s="1"/>
  <c r="F68" i="4"/>
  <c r="F74" i="4" s="1"/>
  <c r="E68" i="4"/>
  <c r="E74" i="4" s="1"/>
  <c r="D68" i="4"/>
  <c r="D74" i="4" s="1"/>
  <c r="N99" i="4"/>
  <c r="M99" i="4"/>
  <c r="L99" i="4"/>
  <c r="K99" i="4"/>
  <c r="I99" i="4"/>
  <c r="H99" i="4"/>
  <c r="G99" i="4"/>
  <c r="F99" i="4"/>
  <c r="E99" i="4"/>
  <c r="D99" i="4"/>
  <c r="N58" i="4"/>
  <c r="M58" i="4"/>
  <c r="L58" i="4"/>
  <c r="K58" i="4"/>
  <c r="I58" i="4"/>
  <c r="I64" i="4" s="1"/>
  <c r="H58" i="4"/>
  <c r="N8" i="4"/>
  <c r="M8" i="4"/>
  <c r="M14" i="4" s="1"/>
  <c r="L8" i="4"/>
  <c r="L14" i="4" s="1"/>
  <c r="K8" i="4"/>
  <c r="I8" i="4"/>
  <c r="I14" i="4" s="1"/>
  <c r="H8" i="4"/>
  <c r="J104" i="4"/>
  <c r="K104" i="4"/>
  <c r="J95" i="4"/>
  <c r="N88" i="4"/>
  <c r="N95" i="4" s="1"/>
  <c r="M88" i="4"/>
  <c r="M95" i="4" s="1"/>
  <c r="L88" i="4"/>
  <c r="L95" i="4" s="1"/>
  <c r="K88" i="4"/>
  <c r="K95" i="4" s="1"/>
  <c r="I88" i="4"/>
  <c r="I95" i="4" s="1"/>
  <c r="H88" i="4"/>
  <c r="H95" i="4" s="1"/>
  <c r="G88" i="4"/>
  <c r="G95" i="4" s="1"/>
  <c r="F88" i="4"/>
  <c r="F95" i="4" s="1"/>
  <c r="E88" i="4"/>
  <c r="E95" i="4" s="1"/>
  <c r="D88" i="4"/>
  <c r="D95" i="4" s="1"/>
  <c r="N84" i="4"/>
  <c r="M84" i="4"/>
  <c r="L84" i="4"/>
  <c r="K84" i="4"/>
  <c r="J84" i="4"/>
  <c r="I84" i="4"/>
  <c r="H84" i="4"/>
  <c r="G84" i="4"/>
  <c r="F84" i="4"/>
  <c r="E84" i="4"/>
  <c r="D84" i="4"/>
  <c r="J74" i="4"/>
  <c r="J64" i="4"/>
  <c r="N59" i="4"/>
  <c r="M59" i="4"/>
  <c r="L59" i="4"/>
  <c r="K59" i="4"/>
  <c r="H59" i="4"/>
  <c r="G59" i="4"/>
  <c r="G64" i="4" s="1"/>
  <c r="F59" i="4"/>
  <c r="F64" i="4" s="1"/>
  <c r="E59" i="4"/>
  <c r="E64" i="4" s="1"/>
  <c r="D59" i="4"/>
  <c r="D64" i="4" s="1"/>
  <c r="J54" i="4"/>
  <c r="N48" i="4"/>
  <c r="N54" i="4" s="1"/>
  <c r="M48" i="4"/>
  <c r="M54" i="4" s="1"/>
  <c r="L48" i="4"/>
  <c r="L54" i="4" s="1"/>
  <c r="K48" i="4"/>
  <c r="K54" i="4" s="1"/>
  <c r="I48" i="4"/>
  <c r="I54" i="4" s="1"/>
  <c r="H48" i="4"/>
  <c r="H54" i="4" s="1"/>
  <c r="G48" i="4"/>
  <c r="G54" i="4" s="1"/>
  <c r="F48" i="4"/>
  <c r="F54" i="4" s="1"/>
  <c r="E48" i="4"/>
  <c r="E54" i="4" s="1"/>
  <c r="D48" i="4"/>
  <c r="D54" i="4" s="1"/>
  <c r="N44" i="4"/>
  <c r="M44" i="4"/>
  <c r="L44" i="4"/>
  <c r="K44" i="4"/>
  <c r="J44" i="4"/>
  <c r="I44" i="4"/>
  <c r="H44" i="4"/>
  <c r="G44" i="4"/>
  <c r="F44" i="4"/>
  <c r="E44" i="4"/>
  <c r="D44" i="4"/>
  <c r="J34" i="4"/>
  <c r="N30" i="4"/>
  <c r="M30" i="4"/>
  <c r="L30" i="4"/>
  <c r="K30" i="4"/>
  <c r="H30" i="4"/>
  <c r="N28" i="4"/>
  <c r="M28" i="4"/>
  <c r="L28" i="4"/>
  <c r="K28" i="4"/>
  <c r="I28" i="4"/>
  <c r="I34" i="4" s="1"/>
  <c r="H28" i="4"/>
  <c r="G28" i="4"/>
  <c r="G34" i="4" s="1"/>
  <c r="F28" i="4"/>
  <c r="F34" i="4" s="1"/>
  <c r="E28" i="4"/>
  <c r="E34" i="4" s="1"/>
  <c r="D28" i="4"/>
  <c r="D34" i="4" s="1"/>
  <c r="J24" i="4"/>
  <c r="N21" i="4"/>
  <c r="N20" i="4"/>
  <c r="M20" i="4"/>
  <c r="L20" i="4"/>
  <c r="K20" i="4"/>
  <c r="H20" i="4"/>
  <c r="G20" i="4"/>
  <c r="G24" i="4" s="1"/>
  <c r="F20" i="4"/>
  <c r="F24" i="4" s="1"/>
  <c r="E20" i="4"/>
  <c r="E24" i="4" s="1"/>
  <c r="D20" i="4"/>
  <c r="D24" i="4" s="1"/>
  <c r="N18" i="4"/>
  <c r="M18" i="4"/>
  <c r="L18" i="4"/>
  <c r="K18" i="4"/>
  <c r="I18" i="4"/>
  <c r="I24" i="4" s="1"/>
  <c r="H18" i="4"/>
  <c r="J14" i="4"/>
  <c r="G14" i="4"/>
  <c r="F14" i="4"/>
  <c r="E14" i="4"/>
  <c r="D14" i="4"/>
  <c r="N10" i="4"/>
  <c r="K10" i="4"/>
  <c r="H10" i="4"/>
  <c r="K14" i="4" l="1"/>
  <c r="H14" i="4"/>
  <c r="H34" i="4"/>
  <c r="N64" i="4"/>
  <c r="D104" i="4"/>
  <c r="H104" i="4"/>
  <c r="M104" i="4"/>
  <c r="N34" i="4"/>
  <c r="K64" i="4"/>
  <c r="L64" i="4"/>
  <c r="M24" i="4"/>
  <c r="K34" i="4"/>
  <c r="E104" i="4"/>
  <c r="I104" i="4"/>
  <c r="L24" i="4"/>
  <c r="N104" i="4"/>
  <c r="H64" i="4"/>
  <c r="M64" i="4"/>
  <c r="F104" i="4"/>
  <c r="K24" i="4"/>
  <c r="N24" i="4"/>
  <c r="L34" i="4"/>
  <c r="G104" i="4"/>
  <c r="L104" i="4"/>
  <c r="N14" i="4"/>
  <c r="H24" i="4"/>
  <c r="M34" i="4"/>
</calcChain>
</file>

<file path=xl/sharedStrings.xml><?xml version="1.0" encoding="utf-8"?>
<sst xmlns="http://schemas.openxmlformats.org/spreadsheetml/2006/main" count="195" uniqueCount="96">
  <si>
    <t>№ ТК по сборнику рецептур блюд*</t>
  </si>
  <si>
    <t>Наименование блюда</t>
  </si>
  <si>
    <t>Белки</t>
  </si>
  <si>
    <t>Жиры</t>
  </si>
  <si>
    <t>Углеводы</t>
  </si>
  <si>
    <t>э/ц ккл</t>
  </si>
  <si>
    <t>Витамины, мг на 100 г</t>
  </si>
  <si>
    <t>Минеральные в-ва</t>
  </si>
  <si>
    <t>В1</t>
  </si>
  <si>
    <t>С</t>
  </si>
  <si>
    <t>А</t>
  </si>
  <si>
    <t>Са</t>
  </si>
  <si>
    <t>Р</t>
  </si>
  <si>
    <t>Mg</t>
  </si>
  <si>
    <t>Fe</t>
  </si>
  <si>
    <t>ДЕНЬ № 1</t>
  </si>
  <si>
    <t>Хлеб пшеничный</t>
  </si>
  <si>
    <t>ИТОГО:</t>
  </si>
  <si>
    <t>ДЕНЬ № 2</t>
  </si>
  <si>
    <t>ДЕНЬ № 3</t>
  </si>
  <si>
    <t>Каша гречневая рассыпчатая</t>
  </si>
  <si>
    <t>ДЕНЬ № 4</t>
  </si>
  <si>
    <t>ДЕНЬ № 5</t>
  </si>
  <si>
    <t>ДЕНЬ № 7</t>
  </si>
  <si>
    <t>ДЕНЬ № 8</t>
  </si>
  <si>
    <t>ДЕНЬ № 10</t>
  </si>
  <si>
    <t>*Сборник рецептур на продукцию для обучающихся во всех образовательных учреждениях (Сборник технических нормативов) 2011 год. Могильный М. П.; Тутельян В. А.; Зайцева Т. А. ТЕХНОЛОГИЧЕСКАЯ ИНСТРУКЦИЯ ПО ПРОИЗВОДСТВУ КУЛИНАРНОЙ ПРОДУКЦИИ ДЛЯ ПИТАНИЯ ДЕТЕЙ И ПОДРОСТКОВ ШКОЛЬНОГО ВОЗРАСТА В ОРГАНИЗОВАННЫХ КОЛЛЕКТИВАХ (К ГОСТ 30390-95/ГОСТ Р 50763-95) ТИТОВ 2006 ПРАКТИЧЕСКОЕ РУКОВОДСТВО для врачей-диетологов, медицинских сестер диетических, специалистов общественного питания. Тутельян В.А., Гаппаров М.М.Г., Батурин А.К., Погожева А.В., Шарафетдинов Х.Х., Плотникова О.А., Павлючкова М.С., Гроздова Т.Ю., Ким И.И., Шатурная И.В., Керимова М.Г. 2014г.</t>
  </si>
  <si>
    <t>Обед</t>
  </si>
  <si>
    <t>Овощи по сезону</t>
  </si>
  <si>
    <t>Компот из сухофруктов</t>
  </si>
  <si>
    <t>Хлеб ржаной</t>
  </si>
  <si>
    <t>Макароны отварные</t>
  </si>
  <si>
    <t>Компот из св. яблок</t>
  </si>
  <si>
    <t>Суп картофельный с горохом</t>
  </si>
  <si>
    <t>Каша перловая рассыпчатая</t>
  </si>
  <si>
    <t>Плов из птицы</t>
  </si>
  <si>
    <t>Борщ из свежей капусты с картофелем</t>
  </si>
  <si>
    <t>Компот из свежих фруктов</t>
  </si>
  <si>
    <t xml:space="preserve">Птица тушеная </t>
  </si>
  <si>
    <t>Крупа пшеничная</t>
  </si>
  <si>
    <t>Сок фруктовый</t>
  </si>
  <si>
    <t>Суп картофельный с  крупой</t>
  </si>
  <si>
    <t>Суп-лапша по-домашнему</t>
  </si>
  <si>
    <t>Напиток из сухофруктов</t>
  </si>
  <si>
    <t>Рагу из птицы</t>
  </si>
  <si>
    <t>Выход             с 11-17 лет</t>
  </si>
  <si>
    <t>ДЕНЬ №6</t>
  </si>
  <si>
    <t>ДЕНЬ №9</t>
  </si>
  <si>
    <t>Картофель отварной или пюре картофельное</t>
  </si>
  <si>
    <t xml:space="preserve">Фрукты свежие </t>
  </si>
  <si>
    <t>№338 Тутитльян</t>
  </si>
  <si>
    <t>Компот из св. фруктов</t>
  </si>
  <si>
    <t>№255</t>
  </si>
  <si>
    <t xml:space="preserve">Печень по-строгановски </t>
  </si>
  <si>
    <t>Примерное 10-дневное меню для школьников с 11 лет и старше  2020/21 год</t>
  </si>
  <si>
    <t>Суп картофельный с макаронными изделиями</t>
  </si>
  <si>
    <t>№116(2)</t>
  </si>
  <si>
    <t>№ 114(2)</t>
  </si>
  <si>
    <t>№246</t>
  </si>
  <si>
    <t>№353(1)</t>
  </si>
  <si>
    <t xml:space="preserve">Щи из свежей капусты </t>
  </si>
  <si>
    <t>№ 95(2)</t>
  </si>
  <si>
    <t>Суп картофельный с бобовыми</t>
  </si>
  <si>
    <t>№115(2)</t>
  </si>
  <si>
    <t>№311(2)</t>
  </si>
  <si>
    <t>№70-75</t>
  </si>
  <si>
    <t>№243</t>
  </si>
  <si>
    <t>№407</t>
  </si>
  <si>
    <t>№349</t>
  </si>
  <si>
    <t>35</t>
  </si>
  <si>
    <t>№353(2)</t>
  </si>
  <si>
    <t>№ПР481</t>
  </si>
  <si>
    <t>№285</t>
  </si>
  <si>
    <t>Рагу из овощей</t>
  </si>
  <si>
    <t>№175</t>
  </si>
  <si>
    <t>№360</t>
  </si>
  <si>
    <t>№342</t>
  </si>
  <si>
    <t>№304</t>
  </si>
  <si>
    <t>№82</t>
  </si>
  <si>
    <t>№283</t>
  </si>
  <si>
    <t>Каша рисовая рассыпчатая</t>
  </si>
  <si>
    <t>№ 290</t>
  </si>
  <si>
    <t>№ПР407</t>
  </si>
  <si>
    <t>№113</t>
  </si>
  <si>
    <t>№311</t>
  </si>
  <si>
    <t>№155</t>
  </si>
  <si>
    <t>80/20</t>
  </si>
  <si>
    <t>№84</t>
  </si>
  <si>
    <t>Борщ  с картофелем</t>
  </si>
  <si>
    <t xml:space="preserve">Биточки мясные </t>
  </si>
  <si>
    <t>Биточки рыбные школьные</t>
  </si>
  <si>
    <t>Тефтели рыбные</t>
  </si>
  <si>
    <t xml:space="preserve">Шницель рыбный рубленный </t>
  </si>
  <si>
    <t xml:space="preserve">Биточки   мясные школьные с соусом </t>
  </si>
  <si>
    <t>Борщ с картофелем</t>
  </si>
  <si>
    <t>Птица отварная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</si>
</sst>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name val="Arial"/>
      <family val="2"/>
      <charset val="204"/>
    </font>
    <font>
      <sz val="10"/>
      <name val="Arial"/>
      <family val="2"/>
      <charset val="204"/>
    </font>
    <font>
      <b/>
      <sz val="13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5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5">
    <xf numFmtId="0" fontId="0" fillId="0" borderId="0" xfId="0"/>
    <xf numFmtId="0" fontId="2" fillId="2" borderId="1" xfId="1" applyNumberFormat="1" applyFont="1" applyFill="1" applyBorder="1" applyAlignment="1" applyProtection="1">
      <alignment horizontal="center" vertical="center"/>
    </xf>
    <xf numFmtId="49" fontId="2" fillId="2" borderId="1" xfId="1" applyNumberFormat="1" applyFont="1" applyFill="1" applyBorder="1" applyAlignment="1" applyProtection="1">
      <alignment horizontal="left" vertical="center" wrapText="1"/>
    </xf>
    <xf numFmtId="49" fontId="2" fillId="2" borderId="1" xfId="1" applyNumberFormat="1" applyFont="1" applyFill="1" applyBorder="1" applyAlignment="1" applyProtection="1">
      <alignment horizontal="center" vertical="center"/>
    </xf>
    <xf numFmtId="2" fontId="2" fillId="2" borderId="1" xfId="1" applyNumberFormat="1" applyFont="1" applyFill="1" applyBorder="1" applyAlignment="1" applyProtection="1">
      <alignment horizontal="center" vertical="top"/>
    </xf>
    <xf numFmtId="2" fontId="2" fillId="2" borderId="2" xfId="1" applyNumberFormat="1" applyFont="1" applyFill="1" applyBorder="1" applyAlignment="1" applyProtection="1">
      <alignment horizontal="center" vertical="top"/>
    </xf>
    <xf numFmtId="2" fontId="2" fillId="2" borderId="2" xfId="1" applyNumberFormat="1" applyFont="1" applyFill="1" applyBorder="1" applyAlignment="1" applyProtection="1">
      <alignment horizontal="center" vertical="center"/>
    </xf>
    <xf numFmtId="2" fontId="2" fillId="2" borderId="1" xfId="1" applyNumberFormat="1" applyFont="1" applyFill="1" applyBorder="1" applyAlignment="1" applyProtection="1">
      <alignment horizontal="center" vertical="center"/>
    </xf>
    <xf numFmtId="2" fontId="3" fillId="2" borderId="1" xfId="1" applyNumberFormat="1" applyFont="1" applyFill="1" applyBorder="1" applyAlignment="1" applyProtection="1">
      <alignment horizontal="center" vertical="center"/>
    </xf>
    <xf numFmtId="0" fontId="5" fillId="2" borderId="1" xfId="1" applyNumberFormat="1" applyFont="1" applyFill="1" applyBorder="1" applyAlignment="1" applyProtection="1">
      <alignment vertical="center" wrapText="1"/>
    </xf>
    <xf numFmtId="0" fontId="5" fillId="2" borderId="1" xfId="1" applyNumberFormat="1" applyFont="1" applyFill="1" applyBorder="1" applyAlignment="1" applyProtection="1">
      <alignment horizontal="left" vertical="top" wrapText="1"/>
    </xf>
    <xf numFmtId="49" fontId="2" fillId="2" borderId="1" xfId="1" applyNumberFormat="1" applyFont="1" applyFill="1" applyBorder="1" applyAlignment="1" applyProtection="1">
      <alignment horizontal="center" vertical="top"/>
    </xf>
    <xf numFmtId="0" fontId="2" fillId="2" borderId="1" xfId="1" applyNumberFormat="1" applyFont="1" applyFill="1" applyBorder="1" applyAlignment="1" applyProtection="1">
      <alignment horizontal="center" vertical="top"/>
    </xf>
    <xf numFmtId="0" fontId="2" fillId="2" borderId="2" xfId="1" applyNumberFormat="1" applyFont="1" applyFill="1" applyBorder="1" applyAlignment="1" applyProtection="1">
      <alignment horizontal="center" vertical="top"/>
    </xf>
    <xf numFmtId="0" fontId="0" fillId="0" borderId="0" xfId="0" applyAlignment="1"/>
    <xf numFmtId="2" fontId="3" fillId="2" borderId="1" xfId="1" applyNumberFormat="1" applyFont="1" applyFill="1" applyBorder="1" applyAlignment="1" applyProtection="1">
      <alignment horizontal="center" vertical="top"/>
    </xf>
    <xf numFmtId="2" fontId="2" fillId="2" borderId="1" xfId="0" applyNumberFormat="1" applyFont="1" applyFill="1" applyBorder="1" applyAlignment="1">
      <alignment horizontal="center"/>
    </xf>
    <xf numFmtId="2" fontId="2" fillId="2" borderId="5" xfId="0" applyNumberFormat="1" applyFont="1" applyFill="1" applyBorder="1" applyAlignment="1">
      <alignment horizontal="center"/>
    </xf>
    <xf numFmtId="49" fontId="2" fillId="2" borderId="1" xfId="1" applyNumberFormat="1" applyFont="1" applyFill="1" applyBorder="1" applyAlignment="1" applyProtection="1">
      <alignment vertical="top"/>
    </xf>
    <xf numFmtId="2" fontId="2" fillId="2" borderId="1" xfId="1" applyNumberFormat="1" applyFont="1" applyFill="1" applyBorder="1" applyAlignment="1" applyProtection="1">
      <alignment vertical="top"/>
    </xf>
    <xf numFmtId="0" fontId="5" fillId="2" borderId="1" xfId="1" applyNumberFormat="1" applyFont="1" applyFill="1" applyBorder="1" applyAlignment="1" applyProtection="1">
      <alignment horizontal="left" wrapText="1"/>
    </xf>
    <xf numFmtId="0" fontId="4" fillId="2" borderId="1" xfId="1" applyNumberFormat="1" applyFont="1" applyFill="1" applyBorder="1" applyAlignment="1" applyProtection="1">
      <alignment vertical="center" wrapText="1"/>
    </xf>
    <xf numFmtId="0" fontId="2" fillId="2" borderId="0" xfId="0" applyFont="1" applyFill="1" applyAlignment="1"/>
    <xf numFmtId="0" fontId="4" fillId="2" borderId="1" xfId="1" applyNumberFormat="1" applyFont="1" applyFill="1" applyBorder="1" applyAlignment="1" applyProtection="1">
      <alignment horizontal="left" wrapText="1"/>
    </xf>
    <xf numFmtId="0" fontId="4" fillId="2" borderId="1" xfId="1" applyNumberFormat="1" applyFont="1" applyFill="1" applyBorder="1" applyAlignment="1" applyProtection="1">
      <alignment horizontal="left" vertical="top" wrapText="1"/>
    </xf>
    <xf numFmtId="0" fontId="4" fillId="2" borderId="1" xfId="1" applyNumberFormat="1" applyFont="1" applyFill="1" applyBorder="1" applyAlignment="1" applyProtection="1">
      <alignment horizontal="left" vertical="center" wrapText="1"/>
    </xf>
    <xf numFmtId="0" fontId="9" fillId="2" borderId="1" xfId="1" applyNumberFormat="1" applyFont="1" applyFill="1" applyBorder="1" applyAlignment="1" applyProtection="1">
      <alignment horizontal="left" vertical="top" wrapText="1"/>
    </xf>
    <xf numFmtId="0" fontId="10" fillId="2" borderId="1" xfId="1" applyNumberFormat="1" applyFont="1" applyFill="1" applyBorder="1" applyAlignment="1" applyProtection="1">
      <alignment horizontal="center" vertical="top"/>
    </xf>
    <xf numFmtId="0" fontId="11" fillId="2" borderId="1" xfId="1" applyNumberFormat="1" applyFont="1" applyFill="1" applyBorder="1" applyAlignment="1" applyProtection="1">
      <alignment horizontal="center" vertical="top" wrapText="1"/>
    </xf>
    <xf numFmtId="49" fontId="12" fillId="2" borderId="1" xfId="1" applyNumberFormat="1" applyFont="1" applyFill="1" applyBorder="1" applyAlignment="1" applyProtection="1">
      <alignment horizontal="left" vertical="center" wrapText="1"/>
    </xf>
    <xf numFmtId="0" fontId="0" fillId="2" borderId="0" xfId="0" applyFill="1" applyAlignment="1"/>
    <xf numFmtId="49" fontId="13" fillId="2" borderId="1" xfId="1" applyNumberFormat="1" applyFont="1" applyFill="1" applyBorder="1" applyAlignment="1" applyProtection="1">
      <alignment horizontal="left" vertical="center" wrapText="1"/>
    </xf>
    <xf numFmtId="49" fontId="2" fillId="2" borderId="5" xfId="1" applyNumberFormat="1" applyFont="1" applyFill="1" applyBorder="1" applyAlignment="1" applyProtection="1">
      <alignment horizontal="left" vertical="center" wrapText="1"/>
    </xf>
    <xf numFmtId="2" fontId="2" fillId="2" borderId="1" xfId="0" applyNumberFormat="1" applyFont="1" applyFill="1" applyBorder="1" applyAlignment="1">
      <alignment horizontal="center" vertical="center"/>
    </xf>
    <xf numFmtId="2" fontId="2" fillId="2" borderId="5" xfId="0" applyNumberFormat="1" applyFont="1" applyFill="1" applyBorder="1" applyAlignment="1">
      <alignment horizontal="center" vertical="center"/>
    </xf>
    <xf numFmtId="49" fontId="2" fillId="2" borderId="5" xfId="1" applyNumberFormat="1" applyFont="1" applyFill="1" applyBorder="1" applyAlignment="1" applyProtection="1">
      <alignment horizontal="center" vertical="top"/>
    </xf>
    <xf numFmtId="2" fontId="3" fillId="2" borderId="5" xfId="1" applyNumberFormat="1" applyFont="1" applyFill="1" applyBorder="1" applyAlignment="1" applyProtection="1">
      <alignment horizontal="center" vertical="top"/>
    </xf>
    <xf numFmtId="2" fontId="2" fillId="2" borderId="9" xfId="0" applyNumberFormat="1" applyFont="1" applyFill="1" applyBorder="1" applyAlignment="1">
      <alignment horizontal="center" vertical="center"/>
    </xf>
    <xf numFmtId="0" fontId="14" fillId="2" borderId="1" xfId="1" applyNumberFormat="1" applyFont="1" applyFill="1" applyBorder="1" applyAlignment="1" applyProtection="1">
      <alignment vertical="center" wrapText="1"/>
    </xf>
    <xf numFmtId="0" fontId="15" fillId="2" borderId="1" xfId="1" applyNumberFormat="1" applyFont="1" applyFill="1" applyBorder="1" applyAlignment="1" applyProtection="1">
      <alignment horizontal="left" vertical="top" wrapText="1"/>
    </xf>
    <xf numFmtId="0" fontId="15" fillId="2" borderId="1" xfId="1" applyNumberFormat="1" applyFont="1" applyFill="1" applyBorder="1" applyAlignment="1" applyProtection="1">
      <alignment vertical="center" wrapText="1"/>
    </xf>
    <xf numFmtId="0" fontId="0" fillId="2" borderId="1" xfId="0" applyFill="1" applyBorder="1" applyAlignment="1"/>
    <xf numFmtId="0" fontId="7" fillId="2" borderId="0" xfId="1" applyNumberFormat="1" applyFont="1" applyFill="1" applyBorder="1" applyAlignment="1" applyProtection="1">
      <alignment horizontal="center" vertical="top"/>
    </xf>
    <xf numFmtId="0" fontId="8" fillId="2" borderId="0" xfId="1" applyNumberFormat="1" applyFont="1" applyFill="1" applyBorder="1" applyAlignment="1" applyProtection="1">
      <alignment vertical="top"/>
    </xf>
    <xf numFmtId="0" fontId="8" fillId="2" borderId="1" xfId="1" applyNumberFormat="1" applyFont="1" applyFill="1" applyBorder="1" applyAlignment="1" applyProtection="1">
      <alignment vertical="top"/>
    </xf>
    <xf numFmtId="0" fontId="3" fillId="2" borderId="1" xfId="1" applyNumberFormat="1" applyFont="1" applyFill="1" applyBorder="1" applyAlignment="1" applyProtection="1">
      <alignment horizontal="center" vertical="center"/>
    </xf>
    <xf numFmtId="2" fontId="3" fillId="2" borderId="9" xfId="1" applyNumberFormat="1" applyFont="1" applyFill="1" applyBorder="1" applyAlignment="1" applyProtection="1">
      <alignment horizontal="center" vertical="top"/>
    </xf>
    <xf numFmtId="0" fontId="2" fillId="2" borderId="1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top" wrapText="1"/>
    </xf>
    <xf numFmtId="0" fontId="2" fillId="2" borderId="1" xfId="1" applyNumberFormat="1" applyFont="1" applyFill="1" applyBorder="1" applyAlignment="1" applyProtection="1">
      <alignment vertical="center" wrapText="1"/>
    </xf>
    <xf numFmtId="0" fontId="2" fillId="2" borderId="1" xfId="0" applyNumberFormat="1" applyFont="1" applyFill="1" applyBorder="1" applyAlignment="1">
      <alignment horizontal="center" vertical="top" wrapText="1"/>
    </xf>
    <xf numFmtId="0" fontId="4" fillId="2" borderId="7" xfId="0" applyNumberFormat="1" applyFont="1" applyFill="1" applyBorder="1" applyAlignment="1" applyProtection="1">
      <alignment horizontal="left" vertical="center" wrapText="1"/>
    </xf>
    <xf numFmtId="0" fontId="4" fillId="2" borderId="6" xfId="0" applyNumberFormat="1" applyFont="1" applyFill="1" applyBorder="1" applyAlignment="1" applyProtection="1">
      <alignment horizontal="left" vertical="center" wrapText="1"/>
    </xf>
    <xf numFmtId="0" fontId="7" fillId="2" borderId="0" xfId="1" applyNumberFormat="1" applyFont="1" applyFill="1" applyBorder="1" applyAlignment="1" applyProtection="1">
      <alignment horizontal="center" vertical="center"/>
    </xf>
    <xf numFmtId="0" fontId="3" fillId="2" borderId="1" xfId="1" applyNumberFormat="1" applyFont="1" applyFill="1" applyBorder="1" applyAlignment="1" applyProtection="1">
      <alignment horizontal="center" vertical="center" wrapText="1"/>
    </xf>
    <xf numFmtId="0" fontId="4" fillId="2" borderId="8" xfId="1" applyNumberFormat="1" applyFont="1" applyFill="1" applyBorder="1" applyAlignment="1" applyProtection="1">
      <alignment horizontal="center" vertical="center"/>
    </xf>
    <xf numFmtId="0" fontId="4" fillId="2" borderId="5" xfId="1" applyNumberFormat="1" applyFont="1" applyFill="1" applyBorder="1" applyAlignment="1" applyProtection="1">
      <alignment horizontal="center" vertical="center"/>
    </xf>
    <xf numFmtId="0" fontId="3" fillId="2" borderId="8" xfId="1" applyNumberFormat="1" applyFont="1" applyFill="1" applyBorder="1" applyAlignment="1" applyProtection="1">
      <alignment horizontal="center" vertical="center" wrapText="1"/>
    </xf>
    <xf numFmtId="0" fontId="3" fillId="2" borderId="5" xfId="1" applyNumberFormat="1" applyFont="1" applyFill="1" applyBorder="1" applyAlignment="1" applyProtection="1">
      <alignment horizontal="center" vertical="center" wrapText="1"/>
    </xf>
    <xf numFmtId="0" fontId="3" fillId="2" borderId="8" xfId="1" applyNumberFormat="1" applyFont="1" applyFill="1" applyBorder="1" applyAlignment="1" applyProtection="1">
      <alignment horizontal="center" vertical="center"/>
    </xf>
    <xf numFmtId="0" fontId="3" fillId="2" borderId="5" xfId="1" applyNumberFormat="1" applyFont="1" applyFill="1" applyBorder="1" applyAlignment="1" applyProtection="1">
      <alignment horizontal="center" vertical="center"/>
    </xf>
    <xf numFmtId="0" fontId="3" fillId="2" borderId="2" xfId="1" applyNumberFormat="1" applyFont="1" applyFill="1" applyBorder="1" applyAlignment="1" applyProtection="1">
      <alignment horizontal="center" vertical="center"/>
    </xf>
    <xf numFmtId="0" fontId="3" fillId="2" borderId="3" xfId="1" applyNumberFormat="1" applyFont="1" applyFill="1" applyBorder="1" applyAlignment="1" applyProtection="1">
      <alignment horizontal="center" vertical="center"/>
    </xf>
    <xf numFmtId="0" fontId="3" fillId="2" borderId="4" xfId="1" applyNumberFormat="1" applyFont="1" applyFill="1" applyBorder="1" applyAlignment="1" applyProtection="1">
      <alignment horizontal="center" vertical="center"/>
    </xf>
    <xf numFmtId="0" fontId="3" fillId="2" borderId="1" xfId="1" applyNumberFormat="1" applyFont="1" applyFill="1" applyBorder="1" applyAlignment="1" applyProtection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05"/>
  <sheetViews>
    <sheetView tabSelected="1" workbookViewId="0">
      <selection activeCell="R20" sqref="R20"/>
    </sheetView>
  </sheetViews>
  <sheetFormatPr defaultRowHeight="15" x14ac:dyDescent="0.25"/>
  <cols>
    <col min="1" max="1" width="14.5703125" style="14" customWidth="1"/>
    <col min="2" max="2" width="41.85546875" style="14" customWidth="1"/>
    <col min="3" max="3" width="11.85546875" style="14" customWidth="1"/>
    <col min="4" max="4" width="13.42578125" style="14" bestFit="1" customWidth="1"/>
    <col min="5" max="6" width="10.5703125" style="14" bestFit="1" customWidth="1"/>
    <col min="7" max="7" width="12" style="14" bestFit="1" customWidth="1"/>
    <col min="8" max="9" width="9.28515625" style="14" bestFit="1" customWidth="1"/>
    <col min="10" max="10" width="10.7109375" style="14" bestFit="1" customWidth="1"/>
    <col min="11" max="12" width="10.85546875" style="14" bestFit="1" customWidth="1"/>
    <col min="13" max="13" width="10.5703125" style="14" bestFit="1" customWidth="1"/>
    <col min="14" max="14" width="9.28515625" style="14" bestFit="1" customWidth="1"/>
    <col min="15" max="249" width="9.140625" style="14"/>
    <col min="250" max="250" width="41.85546875" style="14" customWidth="1"/>
    <col min="251" max="251" width="11.85546875" style="14" customWidth="1"/>
    <col min="252" max="252" width="9.28515625" style="14" bestFit="1" customWidth="1"/>
    <col min="253" max="254" width="10.5703125" style="14" bestFit="1" customWidth="1"/>
    <col min="255" max="255" width="12" style="14" bestFit="1" customWidth="1"/>
    <col min="256" max="257" width="9.28515625" style="14" bestFit="1" customWidth="1"/>
    <col min="258" max="259" width="10.7109375" style="14" bestFit="1" customWidth="1"/>
    <col min="260" max="261" width="10.85546875" style="14" bestFit="1" customWidth="1"/>
    <col min="262" max="262" width="10.5703125" style="14" bestFit="1" customWidth="1"/>
    <col min="263" max="263" width="9.28515625" style="14" bestFit="1" customWidth="1"/>
    <col min="264" max="505" width="9.140625" style="14"/>
    <col min="506" max="506" width="41.85546875" style="14" customWidth="1"/>
    <col min="507" max="507" width="11.85546875" style="14" customWidth="1"/>
    <col min="508" max="508" width="9.28515625" style="14" bestFit="1" customWidth="1"/>
    <col min="509" max="510" width="10.5703125" style="14" bestFit="1" customWidth="1"/>
    <col min="511" max="511" width="12" style="14" bestFit="1" customWidth="1"/>
    <col min="512" max="513" width="9.28515625" style="14" bestFit="1" customWidth="1"/>
    <col min="514" max="515" width="10.7109375" style="14" bestFit="1" customWidth="1"/>
    <col min="516" max="517" width="10.85546875" style="14" bestFit="1" customWidth="1"/>
    <col min="518" max="518" width="10.5703125" style="14" bestFit="1" customWidth="1"/>
    <col min="519" max="519" width="9.28515625" style="14" bestFit="1" customWidth="1"/>
    <col min="520" max="761" width="9.140625" style="14"/>
    <col min="762" max="762" width="41.85546875" style="14" customWidth="1"/>
    <col min="763" max="763" width="11.85546875" style="14" customWidth="1"/>
    <col min="764" max="764" width="9.28515625" style="14" bestFit="1" customWidth="1"/>
    <col min="765" max="766" width="10.5703125" style="14" bestFit="1" customWidth="1"/>
    <col min="767" max="767" width="12" style="14" bestFit="1" customWidth="1"/>
    <col min="768" max="769" width="9.28515625" style="14" bestFit="1" customWidth="1"/>
    <col min="770" max="771" width="10.7109375" style="14" bestFit="1" customWidth="1"/>
    <col min="772" max="773" width="10.85546875" style="14" bestFit="1" customWidth="1"/>
    <col min="774" max="774" width="10.5703125" style="14" bestFit="1" customWidth="1"/>
    <col min="775" max="775" width="9.28515625" style="14" bestFit="1" customWidth="1"/>
    <col min="776" max="1017" width="9.140625" style="14"/>
    <col min="1018" max="1018" width="41.85546875" style="14" customWidth="1"/>
    <col min="1019" max="1019" width="11.85546875" style="14" customWidth="1"/>
    <col min="1020" max="1020" width="9.28515625" style="14" bestFit="1" customWidth="1"/>
    <col min="1021" max="1022" width="10.5703125" style="14" bestFit="1" customWidth="1"/>
    <col min="1023" max="1023" width="12" style="14" bestFit="1" customWidth="1"/>
    <col min="1024" max="1025" width="9.28515625" style="14" bestFit="1" customWidth="1"/>
    <col min="1026" max="1027" width="10.7109375" style="14" bestFit="1" customWidth="1"/>
    <col min="1028" max="1029" width="10.85546875" style="14" bestFit="1" customWidth="1"/>
    <col min="1030" max="1030" width="10.5703125" style="14" bestFit="1" customWidth="1"/>
    <col min="1031" max="1031" width="9.28515625" style="14" bestFit="1" customWidth="1"/>
    <col min="1032" max="1273" width="9.140625" style="14"/>
    <col min="1274" max="1274" width="41.85546875" style="14" customWidth="1"/>
    <col min="1275" max="1275" width="11.85546875" style="14" customWidth="1"/>
    <col min="1276" max="1276" width="9.28515625" style="14" bestFit="1" customWidth="1"/>
    <col min="1277" max="1278" width="10.5703125" style="14" bestFit="1" customWidth="1"/>
    <col min="1279" max="1279" width="12" style="14" bestFit="1" customWidth="1"/>
    <col min="1280" max="1281" width="9.28515625" style="14" bestFit="1" customWidth="1"/>
    <col min="1282" max="1283" width="10.7109375" style="14" bestFit="1" customWidth="1"/>
    <col min="1284" max="1285" width="10.85546875" style="14" bestFit="1" customWidth="1"/>
    <col min="1286" max="1286" width="10.5703125" style="14" bestFit="1" customWidth="1"/>
    <col min="1287" max="1287" width="9.28515625" style="14" bestFit="1" customWidth="1"/>
    <col min="1288" max="1529" width="9.140625" style="14"/>
    <col min="1530" max="1530" width="41.85546875" style="14" customWidth="1"/>
    <col min="1531" max="1531" width="11.85546875" style="14" customWidth="1"/>
    <col min="1532" max="1532" width="9.28515625" style="14" bestFit="1" customWidth="1"/>
    <col min="1533" max="1534" width="10.5703125" style="14" bestFit="1" customWidth="1"/>
    <col min="1535" max="1535" width="12" style="14" bestFit="1" customWidth="1"/>
    <col min="1536" max="1537" width="9.28515625" style="14" bestFit="1" customWidth="1"/>
    <col min="1538" max="1539" width="10.7109375" style="14" bestFit="1" customWidth="1"/>
    <col min="1540" max="1541" width="10.85546875" style="14" bestFit="1" customWidth="1"/>
    <col min="1542" max="1542" width="10.5703125" style="14" bestFit="1" customWidth="1"/>
    <col min="1543" max="1543" width="9.28515625" style="14" bestFit="1" customWidth="1"/>
    <col min="1544" max="1785" width="9.140625" style="14"/>
    <col min="1786" max="1786" width="41.85546875" style="14" customWidth="1"/>
    <col min="1787" max="1787" width="11.85546875" style="14" customWidth="1"/>
    <col min="1788" max="1788" width="9.28515625" style="14" bestFit="1" customWidth="1"/>
    <col min="1789" max="1790" width="10.5703125" style="14" bestFit="1" customWidth="1"/>
    <col min="1791" max="1791" width="12" style="14" bestFit="1" customWidth="1"/>
    <col min="1792" max="1793" width="9.28515625" style="14" bestFit="1" customWidth="1"/>
    <col min="1794" max="1795" width="10.7109375" style="14" bestFit="1" customWidth="1"/>
    <col min="1796" max="1797" width="10.85546875" style="14" bestFit="1" customWidth="1"/>
    <col min="1798" max="1798" width="10.5703125" style="14" bestFit="1" customWidth="1"/>
    <col min="1799" max="1799" width="9.28515625" style="14" bestFit="1" customWidth="1"/>
    <col min="1800" max="2041" width="9.140625" style="14"/>
    <col min="2042" max="2042" width="41.85546875" style="14" customWidth="1"/>
    <col min="2043" max="2043" width="11.85546875" style="14" customWidth="1"/>
    <col min="2044" max="2044" width="9.28515625" style="14" bestFit="1" customWidth="1"/>
    <col min="2045" max="2046" width="10.5703125" style="14" bestFit="1" customWidth="1"/>
    <col min="2047" max="2047" width="12" style="14" bestFit="1" customWidth="1"/>
    <col min="2048" max="2049" width="9.28515625" style="14" bestFit="1" customWidth="1"/>
    <col min="2050" max="2051" width="10.7109375" style="14" bestFit="1" customWidth="1"/>
    <col min="2052" max="2053" width="10.85546875" style="14" bestFit="1" customWidth="1"/>
    <col min="2054" max="2054" width="10.5703125" style="14" bestFit="1" customWidth="1"/>
    <col min="2055" max="2055" width="9.28515625" style="14" bestFit="1" customWidth="1"/>
    <col min="2056" max="2297" width="9.140625" style="14"/>
    <col min="2298" max="2298" width="41.85546875" style="14" customWidth="1"/>
    <col min="2299" max="2299" width="11.85546875" style="14" customWidth="1"/>
    <col min="2300" max="2300" width="9.28515625" style="14" bestFit="1" customWidth="1"/>
    <col min="2301" max="2302" width="10.5703125" style="14" bestFit="1" customWidth="1"/>
    <col min="2303" max="2303" width="12" style="14" bestFit="1" customWidth="1"/>
    <col min="2304" max="2305" width="9.28515625" style="14" bestFit="1" customWidth="1"/>
    <col min="2306" max="2307" width="10.7109375" style="14" bestFit="1" customWidth="1"/>
    <col min="2308" max="2309" width="10.85546875" style="14" bestFit="1" customWidth="1"/>
    <col min="2310" max="2310" width="10.5703125" style="14" bestFit="1" customWidth="1"/>
    <col min="2311" max="2311" width="9.28515625" style="14" bestFit="1" customWidth="1"/>
    <col min="2312" max="2553" width="9.140625" style="14"/>
    <col min="2554" max="2554" width="41.85546875" style="14" customWidth="1"/>
    <col min="2555" max="2555" width="11.85546875" style="14" customWidth="1"/>
    <col min="2556" max="2556" width="9.28515625" style="14" bestFit="1" customWidth="1"/>
    <col min="2557" max="2558" width="10.5703125" style="14" bestFit="1" customWidth="1"/>
    <col min="2559" max="2559" width="12" style="14" bestFit="1" customWidth="1"/>
    <col min="2560" max="2561" width="9.28515625" style="14" bestFit="1" customWidth="1"/>
    <col min="2562" max="2563" width="10.7109375" style="14" bestFit="1" customWidth="1"/>
    <col min="2564" max="2565" width="10.85546875" style="14" bestFit="1" customWidth="1"/>
    <col min="2566" max="2566" width="10.5703125" style="14" bestFit="1" customWidth="1"/>
    <col min="2567" max="2567" width="9.28515625" style="14" bestFit="1" customWidth="1"/>
    <col min="2568" max="2809" width="9.140625" style="14"/>
    <col min="2810" max="2810" width="41.85546875" style="14" customWidth="1"/>
    <col min="2811" max="2811" width="11.85546875" style="14" customWidth="1"/>
    <col min="2812" max="2812" width="9.28515625" style="14" bestFit="1" customWidth="1"/>
    <col min="2813" max="2814" width="10.5703125" style="14" bestFit="1" customWidth="1"/>
    <col min="2815" max="2815" width="12" style="14" bestFit="1" customWidth="1"/>
    <col min="2816" max="2817" width="9.28515625" style="14" bestFit="1" customWidth="1"/>
    <col min="2818" max="2819" width="10.7109375" style="14" bestFit="1" customWidth="1"/>
    <col min="2820" max="2821" width="10.85546875" style="14" bestFit="1" customWidth="1"/>
    <col min="2822" max="2822" width="10.5703125" style="14" bestFit="1" customWidth="1"/>
    <col min="2823" max="2823" width="9.28515625" style="14" bestFit="1" customWidth="1"/>
    <col min="2824" max="3065" width="9.140625" style="14"/>
    <col min="3066" max="3066" width="41.85546875" style="14" customWidth="1"/>
    <col min="3067" max="3067" width="11.85546875" style="14" customWidth="1"/>
    <col min="3068" max="3068" width="9.28515625" style="14" bestFit="1" customWidth="1"/>
    <col min="3069" max="3070" width="10.5703125" style="14" bestFit="1" customWidth="1"/>
    <col min="3071" max="3071" width="12" style="14" bestFit="1" customWidth="1"/>
    <col min="3072" max="3073" width="9.28515625" style="14" bestFit="1" customWidth="1"/>
    <col min="3074" max="3075" width="10.7109375" style="14" bestFit="1" customWidth="1"/>
    <col min="3076" max="3077" width="10.85546875" style="14" bestFit="1" customWidth="1"/>
    <col min="3078" max="3078" width="10.5703125" style="14" bestFit="1" customWidth="1"/>
    <col min="3079" max="3079" width="9.28515625" style="14" bestFit="1" customWidth="1"/>
    <col min="3080" max="3321" width="9.140625" style="14"/>
    <col min="3322" max="3322" width="41.85546875" style="14" customWidth="1"/>
    <col min="3323" max="3323" width="11.85546875" style="14" customWidth="1"/>
    <col min="3324" max="3324" width="9.28515625" style="14" bestFit="1" customWidth="1"/>
    <col min="3325" max="3326" width="10.5703125" style="14" bestFit="1" customWidth="1"/>
    <col min="3327" max="3327" width="12" style="14" bestFit="1" customWidth="1"/>
    <col min="3328" max="3329" width="9.28515625" style="14" bestFit="1" customWidth="1"/>
    <col min="3330" max="3331" width="10.7109375" style="14" bestFit="1" customWidth="1"/>
    <col min="3332" max="3333" width="10.85546875" style="14" bestFit="1" customWidth="1"/>
    <col min="3334" max="3334" width="10.5703125" style="14" bestFit="1" customWidth="1"/>
    <col min="3335" max="3335" width="9.28515625" style="14" bestFit="1" customWidth="1"/>
    <col min="3336" max="3577" width="9.140625" style="14"/>
    <col min="3578" max="3578" width="41.85546875" style="14" customWidth="1"/>
    <col min="3579" max="3579" width="11.85546875" style="14" customWidth="1"/>
    <col min="3580" max="3580" width="9.28515625" style="14" bestFit="1" customWidth="1"/>
    <col min="3581" max="3582" width="10.5703125" style="14" bestFit="1" customWidth="1"/>
    <col min="3583" max="3583" width="12" style="14" bestFit="1" customWidth="1"/>
    <col min="3584" max="3585" width="9.28515625" style="14" bestFit="1" customWidth="1"/>
    <col min="3586" max="3587" width="10.7109375" style="14" bestFit="1" customWidth="1"/>
    <col min="3588" max="3589" width="10.85546875" style="14" bestFit="1" customWidth="1"/>
    <col min="3590" max="3590" width="10.5703125" style="14" bestFit="1" customWidth="1"/>
    <col min="3591" max="3591" width="9.28515625" style="14" bestFit="1" customWidth="1"/>
    <col min="3592" max="3833" width="9.140625" style="14"/>
    <col min="3834" max="3834" width="41.85546875" style="14" customWidth="1"/>
    <col min="3835" max="3835" width="11.85546875" style="14" customWidth="1"/>
    <col min="3836" max="3836" width="9.28515625" style="14" bestFit="1" customWidth="1"/>
    <col min="3837" max="3838" width="10.5703125" style="14" bestFit="1" customWidth="1"/>
    <col min="3839" max="3839" width="12" style="14" bestFit="1" customWidth="1"/>
    <col min="3840" max="3841" width="9.28515625" style="14" bestFit="1" customWidth="1"/>
    <col min="3842" max="3843" width="10.7109375" style="14" bestFit="1" customWidth="1"/>
    <col min="3844" max="3845" width="10.85546875" style="14" bestFit="1" customWidth="1"/>
    <col min="3846" max="3846" width="10.5703125" style="14" bestFit="1" customWidth="1"/>
    <col min="3847" max="3847" width="9.28515625" style="14" bestFit="1" customWidth="1"/>
    <col min="3848" max="4089" width="9.140625" style="14"/>
    <col min="4090" max="4090" width="41.85546875" style="14" customWidth="1"/>
    <col min="4091" max="4091" width="11.85546875" style="14" customWidth="1"/>
    <col min="4092" max="4092" width="9.28515625" style="14" bestFit="1" customWidth="1"/>
    <col min="4093" max="4094" width="10.5703125" style="14" bestFit="1" customWidth="1"/>
    <col min="4095" max="4095" width="12" style="14" bestFit="1" customWidth="1"/>
    <col min="4096" max="4097" width="9.28515625" style="14" bestFit="1" customWidth="1"/>
    <col min="4098" max="4099" width="10.7109375" style="14" bestFit="1" customWidth="1"/>
    <col min="4100" max="4101" width="10.85546875" style="14" bestFit="1" customWidth="1"/>
    <col min="4102" max="4102" width="10.5703125" style="14" bestFit="1" customWidth="1"/>
    <col min="4103" max="4103" width="9.28515625" style="14" bestFit="1" customWidth="1"/>
    <col min="4104" max="4345" width="9.140625" style="14"/>
    <col min="4346" max="4346" width="41.85546875" style="14" customWidth="1"/>
    <col min="4347" max="4347" width="11.85546875" style="14" customWidth="1"/>
    <col min="4348" max="4348" width="9.28515625" style="14" bestFit="1" customWidth="1"/>
    <col min="4349" max="4350" width="10.5703125" style="14" bestFit="1" customWidth="1"/>
    <col min="4351" max="4351" width="12" style="14" bestFit="1" customWidth="1"/>
    <col min="4352" max="4353" width="9.28515625" style="14" bestFit="1" customWidth="1"/>
    <col min="4354" max="4355" width="10.7109375" style="14" bestFit="1" customWidth="1"/>
    <col min="4356" max="4357" width="10.85546875" style="14" bestFit="1" customWidth="1"/>
    <col min="4358" max="4358" width="10.5703125" style="14" bestFit="1" customWidth="1"/>
    <col min="4359" max="4359" width="9.28515625" style="14" bestFit="1" customWidth="1"/>
    <col min="4360" max="4601" width="9.140625" style="14"/>
    <col min="4602" max="4602" width="41.85546875" style="14" customWidth="1"/>
    <col min="4603" max="4603" width="11.85546875" style="14" customWidth="1"/>
    <col min="4604" max="4604" width="9.28515625" style="14" bestFit="1" customWidth="1"/>
    <col min="4605" max="4606" width="10.5703125" style="14" bestFit="1" customWidth="1"/>
    <col min="4607" max="4607" width="12" style="14" bestFit="1" customWidth="1"/>
    <col min="4608" max="4609" width="9.28515625" style="14" bestFit="1" customWidth="1"/>
    <col min="4610" max="4611" width="10.7109375" style="14" bestFit="1" customWidth="1"/>
    <col min="4612" max="4613" width="10.85546875" style="14" bestFit="1" customWidth="1"/>
    <col min="4614" max="4614" width="10.5703125" style="14" bestFit="1" customWidth="1"/>
    <col min="4615" max="4615" width="9.28515625" style="14" bestFit="1" customWidth="1"/>
    <col min="4616" max="4857" width="9.140625" style="14"/>
    <col min="4858" max="4858" width="41.85546875" style="14" customWidth="1"/>
    <col min="4859" max="4859" width="11.85546875" style="14" customWidth="1"/>
    <col min="4860" max="4860" width="9.28515625" style="14" bestFit="1" customWidth="1"/>
    <col min="4861" max="4862" width="10.5703125" style="14" bestFit="1" customWidth="1"/>
    <col min="4863" max="4863" width="12" style="14" bestFit="1" customWidth="1"/>
    <col min="4864" max="4865" width="9.28515625" style="14" bestFit="1" customWidth="1"/>
    <col min="4866" max="4867" width="10.7109375" style="14" bestFit="1" customWidth="1"/>
    <col min="4868" max="4869" width="10.85546875" style="14" bestFit="1" customWidth="1"/>
    <col min="4870" max="4870" width="10.5703125" style="14" bestFit="1" customWidth="1"/>
    <col min="4871" max="4871" width="9.28515625" style="14" bestFit="1" customWidth="1"/>
    <col min="4872" max="5113" width="9.140625" style="14"/>
    <col min="5114" max="5114" width="41.85546875" style="14" customWidth="1"/>
    <col min="5115" max="5115" width="11.85546875" style="14" customWidth="1"/>
    <col min="5116" max="5116" width="9.28515625" style="14" bestFit="1" customWidth="1"/>
    <col min="5117" max="5118" width="10.5703125" style="14" bestFit="1" customWidth="1"/>
    <col min="5119" max="5119" width="12" style="14" bestFit="1" customWidth="1"/>
    <col min="5120" max="5121" width="9.28515625" style="14" bestFit="1" customWidth="1"/>
    <col min="5122" max="5123" width="10.7109375" style="14" bestFit="1" customWidth="1"/>
    <col min="5124" max="5125" width="10.85546875" style="14" bestFit="1" customWidth="1"/>
    <col min="5126" max="5126" width="10.5703125" style="14" bestFit="1" customWidth="1"/>
    <col min="5127" max="5127" width="9.28515625" style="14" bestFit="1" customWidth="1"/>
    <col min="5128" max="5369" width="9.140625" style="14"/>
    <col min="5370" max="5370" width="41.85546875" style="14" customWidth="1"/>
    <col min="5371" max="5371" width="11.85546875" style="14" customWidth="1"/>
    <col min="5372" max="5372" width="9.28515625" style="14" bestFit="1" customWidth="1"/>
    <col min="5373" max="5374" width="10.5703125" style="14" bestFit="1" customWidth="1"/>
    <col min="5375" max="5375" width="12" style="14" bestFit="1" customWidth="1"/>
    <col min="5376" max="5377" width="9.28515625" style="14" bestFit="1" customWidth="1"/>
    <col min="5378" max="5379" width="10.7109375" style="14" bestFit="1" customWidth="1"/>
    <col min="5380" max="5381" width="10.85546875" style="14" bestFit="1" customWidth="1"/>
    <col min="5382" max="5382" width="10.5703125" style="14" bestFit="1" customWidth="1"/>
    <col min="5383" max="5383" width="9.28515625" style="14" bestFit="1" customWidth="1"/>
    <col min="5384" max="5625" width="9.140625" style="14"/>
    <col min="5626" max="5626" width="41.85546875" style="14" customWidth="1"/>
    <col min="5627" max="5627" width="11.85546875" style="14" customWidth="1"/>
    <col min="5628" max="5628" width="9.28515625" style="14" bestFit="1" customWidth="1"/>
    <col min="5629" max="5630" width="10.5703125" style="14" bestFit="1" customWidth="1"/>
    <col min="5631" max="5631" width="12" style="14" bestFit="1" customWidth="1"/>
    <col min="5632" max="5633" width="9.28515625" style="14" bestFit="1" customWidth="1"/>
    <col min="5634" max="5635" width="10.7109375" style="14" bestFit="1" customWidth="1"/>
    <col min="5636" max="5637" width="10.85546875" style="14" bestFit="1" customWidth="1"/>
    <col min="5638" max="5638" width="10.5703125" style="14" bestFit="1" customWidth="1"/>
    <col min="5639" max="5639" width="9.28515625" style="14" bestFit="1" customWidth="1"/>
    <col min="5640" max="5881" width="9.140625" style="14"/>
    <col min="5882" max="5882" width="41.85546875" style="14" customWidth="1"/>
    <col min="5883" max="5883" width="11.85546875" style="14" customWidth="1"/>
    <col min="5884" max="5884" width="9.28515625" style="14" bestFit="1" customWidth="1"/>
    <col min="5885" max="5886" width="10.5703125" style="14" bestFit="1" customWidth="1"/>
    <col min="5887" max="5887" width="12" style="14" bestFit="1" customWidth="1"/>
    <col min="5888" max="5889" width="9.28515625" style="14" bestFit="1" customWidth="1"/>
    <col min="5890" max="5891" width="10.7109375" style="14" bestFit="1" customWidth="1"/>
    <col min="5892" max="5893" width="10.85546875" style="14" bestFit="1" customWidth="1"/>
    <col min="5894" max="5894" width="10.5703125" style="14" bestFit="1" customWidth="1"/>
    <col min="5895" max="5895" width="9.28515625" style="14" bestFit="1" customWidth="1"/>
    <col min="5896" max="6137" width="9.140625" style="14"/>
    <col min="6138" max="6138" width="41.85546875" style="14" customWidth="1"/>
    <col min="6139" max="6139" width="11.85546875" style="14" customWidth="1"/>
    <col min="6140" max="6140" width="9.28515625" style="14" bestFit="1" customWidth="1"/>
    <col min="6141" max="6142" width="10.5703125" style="14" bestFit="1" customWidth="1"/>
    <col min="6143" max="6143" width="12" style="14" bestFit="1" customWidth="1"/>
    <col min="6144" max="6145" width="9.28515625" style="14" bestFit="1" customWidth="1"/>
    <col min="6146" max="6147" width="10.7109375" style="14" bestFit="1" customWidth="1"/>
    <col min="6148" max="6149" width="10.85546875" style="14" bestFit="1" customWidth="1"/>
    <col min="6150" max="6150" width="10.5703125" style="14" bestFit="1" customWidth="1"/>
    <col min="6151" max="6151" width="9.28515625" style="14" bestFit="1" customWidth="1"/>
    <col min="6152" max="6393" width="9.140625" style="14"/>
    <col min="6394" max="6394" width="41.85546875" style="14" customWidth="1"/>
    <col min="6395" max="6395" width="11.85546875" style="14" customWidth="1"/>
    <col min="6396" max="6396" width="9.28515625" style="14" bestFit="1" customWidth="1"/>
    <col min="6397" max="6398" width="10.5703125" style="14" bestFit="1" customWidth="1"/>
    <col min="6399" max="6399" width="12" style="14" bestFit="1" customWidth="1"/>
    <col min="6400" max="6401" width="9.28515625" style="14" bestFit="1" customWidth="1"/>
    <col min="6402" max="6403" width="10.7109375" style="14" bestFit="1" customWidth="1"/>
    <col min="6404" max="6405" width="10.85546875" style="14" bestFit="1" customWidth="1"/>
    <col min="6406" max="6406" width="10.5703125" style="14" bestFit="1" customWidth="1"/>
    <col min="6407" max="6407" width="9.28515625" style="14" bestFit="1" customWidth="1"/>
    <col min="6408" max="6649" width="9.140625" style="14"/>
    <col min="6650" max="6650" width="41.85546875" style="14" customWidth="1"/>
    <col min="6651" max="6651" width="11.85546875" style="14" customWidth="1"/>
    <col min="6652" max="6652" width="9.28515625" style="14" bestFit="1" customWidth="1"/>
    <col min="6653" max="6654" width="10.5703125" style="14" bestFit="1" customWidth="1"/>
    <col min="6655" max="6655" width="12" style="14" bestFit="1" customWidth="1"/>
    <col min="6656" max="6657" width="9.28515625" style="14" bestFit="1" customWidth="1"/>
    <col min="6658" max="6659" width="10.7109375" style="14" bestFit="1" customWidth="1"/>
    <col min="6660" max="6661" width="10.85546875" style="14" bestFit="1" customWidth="1"/>
    <col min="6662" max="6662" width="10.5703125" style="14" bestFit="1" customWidth="1"/>
    <col min="6663" max="6663" width="9.28515625" style="14" bestFit="1" customWidth="1"/>
    <col min="6664" max="6905" width="9.140625" style="14"/>
    <col min="6906" max="6906" width="41.85546875" style="14" customWidth="1"/>
    <col min="6907" max="6907" width="11.85546875" style="14" customWidth="1"/>
    <col min="6908" max="6908" width="9.28515625" style="14" bestFit="1" customWidth="1"/>
    <col min="6909" max="6910" width="10.5703125" style="14" bestFit="1" customWidth="1"/>
    <col min="6911" max="6911" width="12" style="14" bestFit="1" customWidth="1"/>
    <col min="6912" max="6913" width="9.28515625" style="14" bestFit="1" customWidth="1"/>
    <col min="6914" max="6915" width="10.7109375" style="14" bestFit="1" customWidth="1"/>
    <col min="6916" max="6917" width="10.85546875" style="14" bestFit="1" customWidth="1"/>
    <col min="6918" max="6918" width="10.5703125" style="14" bestFit="1" customWidth="1"/>
    <col min="6919" max="6919" width="9.28515625" style="14" bestFit="1" customWidth="1"/>
    <col min="6920" max="7161" width="9.140625" style="14"/>
    <col min="7162" max="7162" width="41.85546875" style="14" customWidth="1"/>
    <col min="7163" max="7163" width="11.85546875" style="14" customWidth="1"/>
    <col min="7164" max="7164" width="9.28515625" style="14" bestFit="1" customWidth="1"/>
    <col min="7165" max="7166" width="10.5703125" style="14" bestFit="1" customWidth="1"/>
    <col min="7167" max="7167" width="12" style="14" bestFit="1" customWidth="1"/>
    <col min="7168" max="7169" width="9.28515625" style="14" bestFit="1" customWidth="1"/>
    <col min="7170" max="7171" width="10.7109375" style="14" bestFit="1" customWidth="1"/>
    <col min="7172" max="7173" width="10.85546875" style="14" bestFit="1" customWidth="1"/>
    <col min="7174" max="7174" width="10.5703125" style="14" bestFit="1" customWidth="1"/>
    <col min="7175" max="7175" width="9.28515625" style="14" bestFit="1" customWidth="1"/>
    <col min="7176" max="7417" width="9.140625" style="14"/>
    <col min="7418" max="7418" width="41.85546875" style="14" customWidth="1"/>
    <col min="7419" max="7419" width="11.85546875" style="14" customWidth="1"/>
    <col min="7420" max="7420" width="9.28515625" style="14" bestFit="1" customWidth="1"/>
    <col min="7421" max="7422" width="10.5703125" style="14" bestFit="1" customWidth="1"/>
    <col min="7423" max="7423" width="12" style="14" bestFit="1" customWidth="1"/>
    <col min="7424" max="7425" width="9.28515625" style="14" bestFit="1" customWidth="1"/>
    <col min="7426" max="7427" width="10.7109375" style="14" bestFit="1" customWidth="1"/>
    <col min="7428" max="7429" width="10.85546875" style="14" bestFit="1" customWidth="1"/>
    <col min="7430" max="7430" width="10.5703125" style="14" bestFit="1" customWidth="1"/>
    <col min="7431" max="7431" width="9.28515625" style="14" bestFit="1" customWidth="1"/>
    <col min="7432" max="7673" width="9.140625" style="14"/>
    <col min="7674" max="7674" width="41.85546875" style="14" customWidth="1"/>
    <col min="7675" max="7675" width="11.85546875" style="14" customWidth="1"/>
    <col min="7676" max="7676" width="9.28515625" style="14" bestFit="1" customWidth="1"/>
    <col min="7677" max="7678" width="10.5703125" style="14" bestFit="1" customWidth="1"/>
    <col min="7679" max="7679" width="12" style="14" bestFit="1" customWidth="1"/>
    <col min="7680" max="7681" width="9.28515625" style="14" bestFit="1" customWidth="1"/>
    <col min="7682" max="7683" width="10.7109375" style="14" bestFit="1" customWidth="1"/>
    <col min="7684" max="7685" width="10.85546875" style="14" bestFit="1" customWidth="1"/>
    <col min="7686" max="7686" width="10.5703125" style="14" bestFit="1" customWidth="1"/>
    <col min="7687" max="7687" width="9.28515625" style="14" bestFit="1" customWidth="1"/>
    <col min="7688" max="7929" width="9.140625" style="14"/>
    <col min="7930" max="7930" width="41.85546875" style="14" customWidth="1"/>
    <col min="7931" max="7931" width="11.85546875" style="14" customWidth="1"/>
    <col min="7932" max="7932" width="9.28515625" style="14" bestFit="1" customWidth="1"/>
    <col min="7933" max="7934" width="10.5703125" style="14" bestFit="1" customWidth="1"/>
    <col min="7935" max="7935" width="12" style="14" bestFit="1" customWidth="1"/>
    <col min="7936" max="7937" width="9.28515625" style="14" bestFit="1" customWidth="1"/>
    <col min="7938" max="7939" width="10.7109375" style="14" bestFit="1" customWidth="1"/>
    <col min="7940" max="7941" width="10.85546875" style="14" bestFit="1" customWidth="1"/>
    <col min="7942" max="7942" width="10.5703125" style="14" bestFit="1" customWidth="1"/>
    <col min="7943" max="7943" width="9.28515625" style="14" bestFit="1" customWidth="1"/>
    <col min="7944" max="8185" width="9.140625" style="14"/>
    <col min="8186" max="8186" width="41.85546875" style="14" customWidth="1"/>
    <col min="8187" max="8187" width="11.85546875" style="14" customWidth="1"/>
    <col min="8188" max="8188" width="9.28515625" style="14" bestFit="1" customWidth="1"/>
    <col min="8189" max="8190" width="10.5703125" style="14" bestFit="1" customWidth="1"/>
    <col min="8191" max="8191" width="12" style="14" bestFit="1" customWidth="1"/>
    <col min="8192" max="8193" width="9.28515625" style="14" bestFit="1" customWidth="1"/>
    <col min="8194" max="8195" width="10.7109375" style="14" bestFit="1" customWidth="1"/>
    <col min="8196" max="8197" width="10.85546875" style="14" bestFit="1" customWidth="1"/>
    <col min="8198" max="8198" width="10.5703125" style="14" bestFit="1" customWidth="1"/>
    <col min="8199" max="8199" width="9.28515625" style="14" bestFit="1" customWidth="1"/>
    <col min="8200" max="8441" width="9.140625" style="14"/>
    <col min="8442" max="8442" width="41.85546875" style="14" customWidth="1"/>
    <col min="8443" max="8443" width="11.85546875" style="14" customWidth="1"/>
    <col min="8444" max="8444" width="9.28515625" style="14" bestFit="1" customWidth="1"/>
    <col min="8445" max="8446" width="10.5703125" style="14" bestFit="1" customWidth="1"/>
    <col min="8447" max="8447" width="12" style="14" bestFit="1" customWidth="1"/>
    <col min="8448" max="8449" width="9.28515625" style="14" bestFit="1" customWidth="1"/>
    <col min="8450" max="8451" width="10.7109375" style="14" bestFit="1" customWidth="1"/>
    <col min="8452" max="8453" width="10.85546875" style="14" bestFit="1" customWidth="1"/>
    <col min="8454" max="8454" width="10.5703125" style="14" bestFit="1" customWidth="1"/>
    <col min="8455" max="8455" width="9.28515625" style="14" bestFit="1" customWidth="1"/>
    <col min="8456" max="8697" width="9.140625" style="14"/>
    <col min="8698" max="8698" width="41.85546875" style="14" customWidth="1"/>
    <col min="8699" max="8699" width="11.85546875" style="14" customWidth="1"/>
    <col min="8700" max="8700" width="9.28515625" style="14" bestFit="1" customWidth="1"/>
    <col min="8701" max="8702" width="10.5703125" style="14" bestFit="1" customWidth="1"/>
    <col min="8703" max="8703" width="12" style="14" bestFit="1" customWidth="1"/>
    <col min="8704" max="8705" width="9.28515625" style="14" bestFit="1" customWidth="1"/>
    <col min="8706" max="8707" width="10.7109375" style="14" bestFit="1" customWidth="1"/>
    <col min="8708" max="8709" width="10.85546875" style="14" bestFit="1" customWidth="1"/>
    <col min="8710" max="8710" width="10.5703125" style="14" bestFit="1" customWidth="1"/>
    <col min="8711" max="8711" width="9.28515625" style="14" bestFit="1" customWidth="1"/>
    <col min="8712" max="8953" width="9.140625" style="14"/>
    <col min="8954" max="8954" width="41.85546875" style="14" customWidth="1"/>
    <col min="8955" max="8955" width="11.85546875" style="14" customWidth="1"/>
    <col min="8956" max="8956" width="9.28515625" style="14" bestFit="1" customWidth="1"/>
    <col min="8957" max="8958" width="10.5703125" style="14" bestFit="1" customWidth="1"/>
    <col min="8959" max="8959" width="12" style="14" bestFit="1" customWidth="1"/>
    <col min="8960" max="8961" width="9.28515625" style="14" bestFit="1" customWidth="1"/>
    <col min="8962" max="8963" width="10.7109375" style="14" bestFit="1" customWidth="1"/>
    <col min="8964" max="8965" width="10.85546875" style="14" bestFit="1" customWidth="1"/>
    <col min="8966" max="8966" width="10.5703125" style="14" bestFit="1" customWidth="1"/>
    <col min="8967" max="8967" width="9.28515625" style="14" bestFit="1" customWidth="1"/>
    <col min="8968" max="9209" width="9.140625" style="14"/>
    <col min="9210" max="9210" width="41.85546875" style="14" customWidth="1"/>
    <col min="9211" max="9211" width="11.85546875" style="14" customWidth="1"/>
    <col min="9212" max="9212" width="9.28515625" style="14" bestFit="1" customWidth="1"/>
    <col min="9213" max="9214" width="10.5703125" style="14" bestFit="1" customWidth="1"/>
    <col min="9215" max="9215" width="12" style="14" bestFit="1" customWidth="1"/>
    <col min="9216" max="9217" width="9.28515625" style="14" bestFit="1" customWidth="1"/>
    <col min="9218" max="9219" width="10.7109375" style="14" bestFit="1" customWidth="1"/>
    <col min="9220" max="9221" width="10.85546875" style="14" bestFit="1" customWidth="1"/>
    <col min="9222" max="9222" width="10.5703125" style="14" bestFit="1" customWidth="1"/>
    <col min="9223" max="9223" width="9.28515625" style="14" bestFit="1" customWidth="1"/>
    <col min="9224" max="9465" width="9.140625" style="14"/>
    <col min="9466" max="9466" width="41.85546875" style="14" customWidth="1"/>
    <col min="9467" max="9467" width="11.85546875" style="14" customWidth="1"/>
    <col min="9468" max="9468" width="9.28515625" style="14" bestFit="1" customWidth="1"/>
    <col min="9469" max="9470" width="10.5703125" style="14" bestFit="1" customWidth="1"/>
    <col min="9471" max="9471" width="12" style="14" bestFit="1" customWidth="1"/>
    <col min="9472" max="9473" width="9.28515625" style="14" bestFit="1" customWidth="1"/>
    <col min="9474" max="9475" width="10.7109375" style="14" bestFit="1" customWidth="1"/>
    <col min="9476" max="9477" width="10.85546875" style="14" bestFit="1" customWidth="1"/>
    <col min="9478" max="9478" width="10.5703125" style="14" bestFit="1" customWidth="1"/>
    <col min="9479" max="9479" width="9.28515625" style="14" bestFit="1" customWidth="1"/>
    <col min="9480" max="9721" width="9.140625" style="14"/>
    <col min="9722" max="9722" width="41.85546875" style="14" customWidth="1"/>
    <col min="9723" max="9723" width="11.85546875" style="14" customWidth="1"/>
    <col min="9724" max="9724" width="9.28515625" style="14" bestFit="1" customWidth="1"/>
    <col min="9725" max="9726" width="10.5703125" style="14" bestFit="1" customWidth="1"/>
    <col min="9727" max="9727" width="12" style="14" bestFit="1" customWidth="1"/>
    <col min="9728" max="9729" width="9.28515625" style="14" bestFit="1" customWidth="1"/>
    <col min="9730" max="9731" width="10.7109375" style="14" bestFit="1" customWidth="1"/>
    <col min="9732" max="9733" width="10.85546875" style="14" bestFit="1" customWidth="1"/>
    <col min="9734" max="9734" width="10.5703125" style="14" bestFit="1" customWidth="1"/>
    <col min="9735" max="9735" width="9.28515625" style="14" bestFit="1" customWidth="1"/>
    <col min="9736" max="9977" width="9.140625" style="14"/>
    <col min="9978" max="9978" width="41.85546875" style="14" customWidth="1"/>
    <col min="9979" max="9979" width="11.85546875" style="14" customWidth="1"/>
    <col min="9980" max="9980" width="9.28515625" style="14" bestFit="1" customWidth="1"/>
    <col min="9981" max="9982" width="10.5703125" style="14" bestFit="1" customWidth="1"/>
    <col min="9983" max="9983" width="12" style="14" bestFit="1" customWidth="1"/>
    <col min="9984" max="9985" width="9.28515625" style="14" bestFit="1" customWidth="1"/>
    <col min="9986" max="9987" width="10.7109375" style="14" bestFit="1" customWidth="1"/>
    <col min="9988" max="9989" width="10.85546875" style="14" bestFit="1" customWidth="1"/>
    <col min="9990" max="9990" width="10.5703125" style="14" bestFit="1" customWidth="1"/>
    <col min="9991" max="9991" width="9.28515625" style="14" bestFit="1" customWidth="1"/>
    <col min="9992" max="10233" width="9.140625" style="14"/>
    <col min="10234" max="10234" width="41.85546875" style="14" customWidth="1"/>
    <col min="10235" max="10235" width="11.85546875" style="14" customWidth="1"/>
    <col min="10236" max="10236" width="9.28515625" style="14" bestFit="1" customWidth="1"/>
    <col min="10237" max="10238" width="10.5703125" style="14" bestFit="1" customWidth="1"/>
    <col min="10239" max="10239" width="12" style="14" bestFit="1" customWidth="1"/>
    <col min="10240" max="10241" width="9.28515625" style="14" bestFit="1" customWidth="1"/>
    <col min="10242" max="10243" width="10.7109375" style="14" bestFit="1" customWidth="1"/>
    <col min="10244" max="10245" width="10.85546875" style="14" bestFit="1" customWidth="1"/>
    <col min="10246" max="10246" width="10.5703125" style="14" bestFit="1" customWidth="1"/>
    <col min="10247" max="10247" width="9.28515625" style="14" bestFit="1" customWidth="1"/>
    <col min="10248" max="10489" width="9.140625" style="14"/>
    <col min="10490" max="10490" width="41.85546875" style="14" customWidth="1"/>
    <col min="10491" max="10491" width="11.85546875" style="14" customWidth="1"/>
    <col min="10492" max="10492" width="9.28515625" style="14" bestFit="1" customWidth="1"/>
    <col min="10493" max="10494" width="10.5703125" style="14" bestFit="1" customWidth="1"/>
    <col min="10495" max="10495" width="12" style="14" bestFit="1" customWidth="1"/>
    <col min="10496" max="10497" width="9.28515625" style="14" bestFit="1" customWidth="1"/>
    <col min="10498" max="10499" width="10.7109375" style="14" bestFit="1" customWidth="1"/>
    <col min="10500" max="10501" width="10.85546875" style="14" bestFit="1" customWidth="1"/>
    <col min="10502" max="10502" width="10.5703125" style="14" bestFit="1" customWidth="1"/>
    <col min="10503" max="10503" width="9.28515625" style="14" bestFit="1" customWidth="1"/>
    <col min="10504" max="10745" width="9.140625" style="14"/>
    <col min="10746" max="10746" width="41.85546875" style="14" customWidth="1"/>
    <col min="10747" max="10747" width="11.85546875" style="14" customWidth="1"/>
    <col min="10748" max="10748" width="9.28515625" style="14" bestFit="1" customWidth="1"/>
    <col min="10749" max="10750" width="10.5703125" style="14" bestFit="1" customWidth="1"/>
    <col min="10751" max="10751" width="12" style="14" bestFit="1" customWidth="1"/>
    <col min="10752" max="10753" width="9.28515625" style="14" bestFit="1" customWidth="1"/>
    <col min="10754" max="10755" width="10.7109375" style="14" bestFit="1" customWidth="1"/>
    <col min="10756" max="10757" width="10.85546875" style="14" bestFit="1" customWidth="1"/>
    <col min="10758" max="10758" width="10.5703125" style="14" bestFit="1" customWidth="1"/>
    <col min="10759" max="10759" width="9.28515625" style="14" bestFit="1" customWidth="1"/>
    <col min="10760" max="11001" width="9.140625" style="14"/>
    <col min="11002" max="11002" width="41.85546875" style="14" customWidth="1"/>
    <col min="11003" max="11003" width="11.85546875" style="14" customWidth="1"/>
    <col min="11004" max="11004" width="9.28515625" style="14" bestFit="1" customWidth="1"/>
    <col min="11005" max="11006" width="10.5703125" style="14" bestFit="1" customWidth="1"/>
    <col min="11007" max="11007" width="12" style="14" bestFit="1" customWidth="1"/>
    <col min="11008" max="11009" width="9.28515625" style="14" bestFit="1" customWidth="1"/>
    <col min="11010" max="11011" width="10.7109375" style="14" bestFit="1" customWidth="1"/>
    <col min="11012" max="11013" width="10.85546875" style="14" bestFit="1" customWidth="1"/>
    <col min="11014" max="11014" width="10.5703125" style="14" bestFit="1" customWidth="1"/>
    <col min="11015" max="11015" width="9.28515625" style="14" bestFit="1" customWidth="1"/>
    <col min="11016" max="11257" width="9.140625" style="14"/>
    <col min="11258" max="11258" width="41.85546875" style="14" customWidth="1"/>
    <col min="11259" max="11259" width="11.85546875" style="14" customWidth="1"/>
    <col min="11260" max="11260" width="9.28515625" style="14" bestFit="1" customWidth="1"/>
    <col min="11261" max="11262" width="10.5703125" style="14" bestFit="1" customWidth="1"/>
    <col min="11263" max="11263" width="12" style="14" bestFit="1" customWidth="1"/>
    <col min="11264" max="11265" width="9.28515625" style="14" bestFit="1" customWidth="1"/>
    <col min="11266" max="11267" width="10.7109375" style="14" bestFit="1" customWidth="1"/>
    <col min="11268" max="11269" width="10.85546875" style="14" bestFit="1" customWidth="1"/>
    <col min="11270" max="11270" width="10.5703125" style="14" bestFit="1" customWidth="1"/>
    <col min="11271" max="11271" width="9.28515625" style="14" bestFit="1" customWidth="1"/>
    <col min="11272" max="11513" width="9.140625" style="14"/>
    <col min="11514" max="11514" width="41.85546875" style="14" customWidth="1"/>
    <col min="11515" max="11515" width="11.85546875" style="14" customWidth="1"/>
    <col min="11516" max="11516" width="9.28515625" style="14" bestFit="1" customWidth="1"/>
    <col min="11517" max="11518" width="10.5703125" style="14" bestFit="1" customWidth="1"/>
    <col min="11519" max="11519" width="12" style="14" bestFit="1" customWidth="1"/>
    <col min="11520" max="11521" width="9.28515625" style="14" bestFit="1" customWidth="1"/>
    <col min="11522" max="11523" width="10.7109375" style="14" bestFit="1" customWidth="1"/>
    <col min="11524" max="11525" width="10.85546875" style="14" bestFit="1" customWidth="1"/>
    <col min="11526" max="11526" width="10.5703125" style="14" bestFit="1" customWidth="1"/>
    <col min="11527" max="11527" width="9.28515625" style="14" bestFit="1" customWidth="1"/>
    <col min="11528" max="11769" width="9.140625" style="14"/>
    <col min="11770" max="11770" width="41.85546875" style="14" customWidth="1"/>
    <col min="11771" max="11771" width="11.85546875" style="14" customWidth="1"/>
    <col min="11772" max="11772" width="9.28515625" style="14" bestFit="1" customWidth="1"/>
    <col min="11773" max="11774" width="10.5703125" style="14" bestFit="1" customWidth="1"/>
    <col min="11775" max="11775" width="12" style="14" bestFit="1" customWidth="1"/>
    <col min="11776" max="11777" width="9.28515625" style="14" bestFit="1" customWidth="1"/>
    <col min="11778" max="11779" width="10.7109375" style="14" bestFit="1" customWidth="1"/>
    <col min="11780" max="11781" width="10.85546875" style="14" bestFit="1" customWidth="1"/>
    <col min="11782" max="11782" width="10.5703125" style="14" bestFit="1" customWidth="1"/>
    <col min="11783" max="11783" width="9.28515625" style="14" bestFit="1" customWidth="1"/>
    <col min="11784" max="12025" width="9.140625" style="14"/>
    <col min="12026" max="12026" width="41.85546875" style="14" customWidth="1"/>
    <col min="12027" max="12027" width="11.85546875" style="14" customWidth="1"/>
    <col min="12028" max="12028" width="9.28515625" style="14" bestFit="1" customWidth="1"/>
    <col min="12029" max="12030" width="10.5703125" style="14" bestFit="1" customWidth="1"/>
    <col min="12031" max="12031" width="12" style="14" bestFit="1" customWidth="1"/>
    <col min="12032" max="12033" width="9.28515625" style="14" bestFit="1" customWidth="1"/>
    <col min="12034" max="12035" width="10.7109375" style="14" bestFit="1" customWidth="1"/>
    <col min="12036" max="12037" width="10.85546875" style="14" bestFit="1" customWidth="1"/>
    <col min="12038" max="12038" width="10.5703125" style="14" bestFit="1" customWidth="1"/>
    <col min="12039" max="12039" width="9.28515625" style="14" bestFit="1" customWidth="1"/>
    <col min="12040" max="12281" width="9.140625" style="14"/>
    <col min="12282" max="12282" width="41.85546875" style="14" customWidth="1"/>
    <col min="12283" max="12283" width="11.85546875" style="14" customWidth="1"/>
    <col min="12284" max="12284" width="9.28515625" style="14" bestFit="1" customWidth="1"/>
    <col min="12285" max="12286" width="10.5703125" style="14" bestFit="1" customWidth="1"/>
    <col min="12287" max="12287" width="12" style="14" bestFit="1" customWidth="1"/>
    <col min="12288" max="12289" width="9.28515625" style="14" bestFit="1" customWidth="1"/>
    <col min="12290" max="12291" width="10.7109375" style="14" bestFit="1" customWidth="1"/>
    <col min="12292" max="12293" width="10.85546875" style="14" bestFit="1" customWidth="1"/>
    <col min="12294" max="12294" width="10.5703125" style="14" bestFit="1" customWidth="1"/>
    <col min="12295" max="12295" width="9.28515625" style="14" bestFit="1" customWidth="1"/>
    <col min="12296" max="12537" width="9.140625" style="14"/>
    <col min="12538" max="12538" width="41.85546875" style="14" customWidth="1"/>
    <col min="12539" max="12539" width="11.85546875" style="14" customWidth="1"/>
    <col min="12540" max="12540" width="9.28515625" style="14" bestFit="1" customWidth="1"/>
    <col min="12541" max="12542" width="10.5703125" style="14" bestFit="1" customWidth="1"/>
    <col min="12543" max="12543" width="12" style="14" bestFit="1" customWidth="1"/>
    <col min="12544" max="12545" width="9.28515625" style="14" bestFit="1" customWidth="1"/>
    <col min="12546" max="12547" width="10.7109375" style="14" bestFit="1" customWidth="1"/>
    <col min="12548" max="12549" width="10.85546875" style="14" bestFit="1" customWidth="1"/>
    <col min="12550" max="12550" width="10.5703125" style="14" bestFit="1" customWidth="1"/>
    <col min="12551" max="12551" width="9.28515625" style="14" bestFit="1" customWidth="1"/>
    <col min="12552" max="12793" width="9.140625" style="14"/>
    <col min="12794" max="12794" width="41.85546875" style="14" customWidth="1"/>
    <col min="12795" max="12795" width="11.85546875" style="14" customWidth="1"/>
    <col min="12796" max="12796" width="9.28515625" style="14" bestFit="1" customWidth="1"/>
    <col min="12797" max="12798" width="10.5703125" style="14" bestFit="1" customWidth="1"/>
    <col min="12799" max="12799" width="12" style="14" bestFit="1" customWidth="1"/>
    <col min="12800" max="12801" width="9.28515625" style="14" bestFit="1" customWidth="1"/>
    <col min="12802" max="12803" width="10.7109375" style="14" bestFit="1" customWidth="1"/>
    <col min="12804" max="12805" width="10.85546875" style="14" bestFit="1" customWidth="1"/>
    <col min="12806" max="12806" width="10.5703125" style="14" bestFit="1" customWidth="1"/>
    <col min="12807" max="12807" width="9.28515625" style="14" bestFit="1" customWidth="1"/>
    <col min="12808" max="13049" width="9.140625" style="14"/>
    <col min="13050" max="13050" width="41.85546875" style="14" customWidth="1"/>
    <col min="13051" max="13051" width="11.85546875" style="14" customWidth="1"/>
    <col min="13052" max="13052" width="9.28515625" style="14" bestFit="1" customWidth="1"/>
    <col min="13053" max="13054" width="10.5703125" style="14" bestFit="1" customWidth="1"/>
    <col min="13055" max="13055" width="12" style="14" bestFit="1" customWidth="1"/>
    <col min="13056" max="13057" width="9.28515625" style="14" bestFit="1" customWidth="1"/>
    <col min="13058" max="13059" width="10.7109375" style="14" bestFit="1" customWidth="1"/>
    <col min="13060" max="13061" width="10.85546875" style="14" bestFit="1" customWidth="1"/>
    <col min="13062" max="13062" width="10.5703125" style="14" bestFit="1" customWidth="1"/>
    <col min="13063" max="13063" width="9.28515625" style="14" bestFit="1" customWidth="1"/>
    <col min="13064" max="13305" width="9.140625" style="14"/>
    <col min="13306" max="13306" width="41.85546875" style="14" customWidth="1"/>
    <col min="13307" max="13307" width="11.85546875" style="14" customWidth="1"/>
    <col min="13308" max="13308" width="9.28515625" style="14" bestFit="1" customWidth="1"/>
    <col min="13309" max="13310" width="10.5703125" style="14" bestFit="1" customWidth="1"/>
    <col min="13311" max="13311" width="12" style="14" bestFit="1" customWidth="1"/>
    <col min="13312" max="13313" width="9.28515625" style="14" bestFit="1" customWidth="1"/>
    <col min="13314" max="13315" width="10.7109375" style="14" bestFit="1" customWidth="1"/>
    <col min="13316" max="13317" width="10.85546875" style="14" bestFit="1" customWidth="1"/>
    <col min="13318" max="13318" width="10.5703125" style="14" bestFit="1" customWidth="1"/>
    <col min="13319" max="13319" width="9.28515625" style="14" bestFit="1" customWidth="1"/>
    <col min="13320" max="13561" width="9.140625" style="14"/>
    <col min="13562" max="13562" width="41.85546875" style="14" customWidth="1"/>
    <col min="13563" max="13563" width="11.85546875" style="14" customWidth="1"/>
    <col min="13564" max="13564" width="9.28515625" style="14" bestFit="1" customWidth="1"/>
    <col min="13565" max="13566" width="10.5703125" style="14" bestFit="1" customWidth="1"/>
    <col min="13567" max="13567" width="12" style="14" bestFit="1" customWidth="1"/>
    <col min="13568" max="13569" width="9.28515625" style="14" bestFit="1" customWidth="1"/>
    <col min="13570" max="13571" width="10.7109375" style="14" bestFit="1" customWidth="1"/>
    <col min="13572" max="13573" width="10.85546875" style="14" bestFit="1" customWidth="1"/>
    <col min="13574" max="13574" width="10.5703125" style="14" bestFit="1" customWidth="1"/>
    <col min="13575" max="13575" width="9.28515625" style="14" bestFit="1" customWidth="1"/>
    <col min="13576" max="13817" width="9.140625" style="14"/>
    <col min="13818" max="13818" width="41.85546875" style="14" customWidth="1"/>
    <col min="13819" max="13819" width="11.85546875" style="14" customWidth="1"/>
    <col min="13820" max="13820" width="9.28515625" style="14" bestFit="1" customWidth="1"/>
    <col min="13821" max="13822" width="10.5703125" style="14" bestFit="1" customWidth="1"/>
    <col min="13823" max="13823" width="12" style="14" bestFit="1" customWidth="1"/>
    <col min="13824" max="13825" width="9.28515625" style="14" bestFit="1" customWidth="1"/>
    <col min="13826" max="13827" width="10.7109375" style="14" bestFit="1" customWidth="1"/>
    <col min="13828" max="13829" width="10.85546875" style="14" bestFit="1" customWidth="1"/>
    <col min="13830" max="13830" width="10.5703125" style="14" bestFit="1" customWidth="1"/>
    <col min="13831" max="13831" width="9.28515625" style="14" bestFit="1" customWidth="1"/>
    <col min="13832" max="14073" width="9.140625" style="14"/>
    <col min="14074" max="14074" width="41.85546875" style="14" customWidth="1"/>
    <col min="14075" max="14075" width="11.85546875" style="14" customWidth="1"/>
    <col min="14076" max="14076" width="9.28515625" style="14" bestFit="1" customWidth="1"/>
    <col min="14077" max="14078" width="10.5703125" style="14" bestFit="1" customWidth="1"/>
    <col min="14079" max="14079" width="12" style="14" bestFit="1" customWidth="1"/>
    <col min="14080" max="14081" width="9.28515625" style="14" bestFit="1" customWidth="1"/>
    <col min="14082" max="14083" width="10.7109375" style="14" bestFit="1" customWidth="1"/>
    <col min="14084" max="14085" width="10.85546875" style="14" bestFit="1" customWidth="1"/>
    <col min="14086" max="14086" width="10.5703125" style="14" bestFit="1" customWidth="1"/>
    <col min="14087" max="14087" width="9.28515625" style="14" bestFit="1" customWidth="1"/>
    <col min="14088" max="14329" width="9.140625" style="14"/>
    <col min="14330" max="14330" width="41.85546875" style="14" customWidth="1"/>
    <col min="14331" max="14331" width="11.85546875" style="14" customWidth="1"/>
    <col min="14332" max="14332" width="9.28515625" style="14" bestFit="1" customWidth="1"/>
    <col min="14333" max="14334" width="10.5703125" style="14" bestFit="1" customWidth="1"/>
    <col min="14335" max="14335" width="12" style="14" bestFit="1" customWidth="1"/>
    <col min="14336" max="14337" width="9.28515625" style="14" bestFit="1" customWidth="1"/>
    <col min="14338" max="14339" width="10.7109375" style="14" bestFit="1" customWidth="1"/>
    <col min="14340" max="14341" width="10.85546875" style="14" bestFit="1" customWidth="1"/>
    <col min="14342" max="14342" width="10.5703125" style="14" bestFit="1" customWidth="1"/>
    <col min="14343" max="14343" width="9.28515625" style="14" bestFit="1" customWidth="1"/>
    <col min="14344" max="14585" width="9.140625" style="14"/>
    <col min="14586" max="14586" width="41.85546875" style="14" customWidth="1"/>
    <col min="14587" max="14587" width="11.85546875" style="14" customWidth="1"/>
    <col min="14588" max="14588" width="9.28515625" style="14" bestFit="1" customWidth="1"/>
    <col min="14589" max="14590" width="10.5703125" style="14" bestFit="1" customWidth="1"/>
    <col min="14591" max="14591" width="12" style="14" bestFit="1" customWidth="1"/>
    <col min="14592" max="14593" width="9.28515625" style="14" bestFit="1" customWidth="1"/>
    <col min="14594" max="14595" width="10.7109375" style="14" bestFit="1" customWidth="1"/>
    <col min="14596" max="14597" width="10.85546875" style="14" bestFit="1" customWidth="1"/>
    <col min="14598" max="14598" width="10.5703125" style="14" bestFit="1" customWidth="1"/>
    <col min="14599" max="14599" width="9.28515625" style="14" bestFit="1" customWidth="1"/>
    <col min="14600" max="14841" width="9.140625" style="14"/>
    <col min="14842" max="14842" width="41.85546875" style="14" customWidth="1"/>
    <col min="14843" max="14843" width="11.85546875" style="14" customWidth="1"/>
    <col min="14844" max="14844" width="9.28515625" style="14" bestFit="1" customWidth="1"/>
    <col min="14845" max="14846" width="10.5703125" style="14" bestFit="1" customWidth="1"/>
    <col min="14847" max="14847" width="12" style="14" bestFit="1" customWidth="1"/>
    <col min="14848" max="14849" width="9.28515625" style="14" bestFit="1" customWidth="1"/>
    <col min="14850" max="14851" width="10.7109375" style="14" bestFit="1" customWidth="1"/>
    <col min="14852" max="14853" width="10.85546875" style="14" bestFit="1" customWidth="1"/>
    <col min="14854" max="14854" width="10.5703125" style="14" bestFit="1" customWidth="1"/>
    <col min="14855" max="14855" width="9.28515625" style="14" bestFit="1" customWidth="1"/>
    <col min="14856" max="15097" width="9.140625" style="14"/>
    <col min="15098" max="15098" width="41.85546875" style="14" customWidth="1"/>
    <col min="15099" max="15099" width="11.85546875" style="14" customWidth="1"/>
    <col min="15100" max="15100" width="9.28515625" style="14" bestFit="1" customWidth="1"/>
    <col min="15101" max="15102" width="10.5703125" style="14" bestFit="1" customWidth="1"/>
    <col min="15103" max="15103" width="12" style="14" bestFit="1" customWidth="1"/>
    <col min="15104" max="15105" width="9.28515625" style="14" bestFit="1" customWidth="1"/>
    <col min="15106" max="15107" width="10.7109375" style="14" bestFit="1" customWidth="1"/>
    <col min="15108" max="15109" width="10.85546875" style="14" bestFit="1" customWidth="1"/>
    <col min="15110" max="15110" width="10.5703125" style="14" bestFit="1" customWidth="1"/>
    <col min="15111" max="15111" width="9.28515625" style="14" bestFit="1" customWidth="1"/>
    <col min="15112" max="15353" width="9.140625" style="14"/>
    <col min="15354" max="15354" width="41.85546875" style="14" customWidth="1"/>
    <col min="15355" max="15355" width="11.85546875" style="14" customWidth="1"/>
    <col min="15356" max="15356" width="9.28515625" style="14" bestFit="1" customWidth="1"/>
    <col min="15357" max="15358" width="10.5703125" style="14" bestFit="1" customWidth="1"/>
    <col min="15359" max="15359" width="12" style="14" bestFit="1" customWidth="1"/>
    <col min="15360" max="15361" width="9.28515625" style="14" bestFit="1" customWidth="1"/>
    <col min="15362" max="15363" width="10.7109375" style="14" bestFit="1" customWidth="1"/>
    <col min="15364" max="15365" width="10.85546875" style="14" bestFit="1" customWidth="1"/>
    <col min="15366" max="15366" width="10.5703125" style="14" bestFit="1" customWidth="1"/>
    <col min="15367" max="15367" width="9.28515625" style="14" bestFit="1" customWidth="1"/>
    <col min="15368" max="15609" width="9.140625" style="14"/>
    <col min="15610" max="15610" width="41.85546875" style="14" customWidth="1"/>
    <col min="15611" max="15611" width="11.85546875" style="14" customWidth="1"/>
    <col min="15612" max="15612" width="9.28515625" style="14" bestFit="1" customWidth="1"/>
    <col min="15613" max="15614" width="10.5703125" style="14" bestFit="1" customWidth="1"/>
    <col min="15615" max="15615" width="12" style="14" bestFit="1" customWidth="1"/>
    <col min="15616" max="15617" width="9.28515625" style="14" bestFit="1" customWidth="1"/>
    <col min="15618" max="15619" width="10.7109375" style="14" bestFit="1" customWidth="1"/>
    <col min="15620" max="15621" width="10.85546875" style="14" bestFit="1" customWidth="1"/>
    <col min="15622" max="15622" width="10.5703125" style="14" bestFit="1" customWidth="1"/>
    <col min="15623" max="15623" width="9.28515625" style="14" bestFit="1" customWidth="1"/>
    <col min="15624" max="15865" width="9.140625" style="14"/>
    <col min="15866" max="15866" width="41.85546875" style="14" customWidth="1"/>
    <col min="15867" max="15867" width="11.85546875" style="14" customWidth="1"/>
    <col min="15868" max="15868" width="9.28515625" style="14" bestFit="1" customWidth="1"/>
    <col min="15869" max="15870" width="10.5703125" style="14" bestFit="1" customWidth="1"/>
    <col min="15871" max="15871" width="12" style="14" bestFit="1" customWidth="1"/>
    <col min="15872" max="15873" width="9.28515625" style="14" bestFit="1" customWidth="1"/>
    <col min="15874" max="15875" width="10.7109375" style="14" bestFit="1" customWidth="1"/>
    <col min="15876" max="15877" width="10.85546875" style="14" bestFit="1" customWidth="1"/>
    <col min="15878" max="15878" width="10.5703125" style="14" bestFit="1" customWidth="1"/>
    <col min="15879" max="15879" width="9.28515625" style="14" bestFit="1" customWidth="1"/>
    <col min="15880" max="16121" width="9.140625" style="14"/>
    <col min="16122" max="16122" width="41.85546875" style="14" customWidth="1"/>
    <col min="16123" max="16123" width="11.85546875" style="14" customWidth="1"/>
    <col min="16124" max="16124" width="9.28515625" style="14" bestFit="1" customWidth="1"/>
    <col min="16125" max="16126" width="10.5703125" style="14" bestFit="1" customWidth="1"/>
    <col min="16127" max="16127" width="12" style="14" bestFit="1" customWidth="1"/>
    <col min="16128" max="16129" width="9.28515625" style="14" bestFit="1" customWidth="1"/>
    <col min="16130" max="16131" width="10.7109375" style="14" bestFit="1" customWidth="1"/>
    <col min="16132" max="16133" width="10.85546875" style="14" bestFit="1" customWidth="1"/>
    <col min="16134" max="16134" width="10.5703125" style="14" bestFit="1" customWidth="1"/>
    <col min="16135" max="16135" width="9.28515625" style="14" bestFit="1" customWidth="1"/>
    <col min="16136" max="16384" width="9.140625" style="14"/>
  </cols>
  <sheetData>
    <row r="1" spans="1:14" ht="15.75" x14ac:dyDescent="0.25">
      <c r="A1" s="30"/>
      <c r="B1" s="53" t="s">
        <v>54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</row>
    <row r="2" spans="1:14" ht="15.75" x14ac:dyDescent="0.25">
      <c r="A2" s="30"/>
      <c r="B2" s="42"/>
      <c r="C2" s="42"/>
      <c r="D2" s="42"/>
      <c r="E2" s="42"/>
      <c r="F2" s="42"/>
      <c r="G2" s="42"/>
      <c r="H2" s="43"/>
      <c r="I2" s="43"/>
      <c r="J2" s="43"/>
      <c r="K2" s="43"/>
      <c r="L2" s="43"/>
      <c r="M2" s="43"/>
      <c r="N2" s="43"/>
    </row>
    <row r="3" spans="1:14" ht="15.75" x14ac:dyDescent="0.25">
      <c r="A3" s="54" t="s">
        <v>0</v>
      </c>
      <c r="B3" s="55" t="s">
        <v>1</v>
      </c>
      <c r="C3" s="57" t="s">
        <v>45</v>
      </c>
      <c r="D3" s="59" t="s">
        <v>2</v>
      </c>
      <c r="E3" s="59" t="s">
        <v>3</v>
      </c>
      <c r="F3" s="59" t="s">
        <v>4</v>
      </c>
      <c r="G3" s="59" t="s">
        <v>5</v>
      </c>
      <c r="H3" s="61" t="s">
        <v>6</v>
      </c>
      <c r="I3" s="62"/>
      <c r="J3" s="63"/>
      <c r="K3" s="64" t="s">
        <v>7</v>
      </c>
      <c r="L3" s="64"/>
      <c r="M3" s="64"/>
      <c r="N3" s="64"/>
    </row>
    <row r="4" spans="1:14" ht="15.75" x14ac:dyDescent="0.25">
      <c r="A4" s="54"/>
      <c r="B4" s="56"/>
      <c r="C4" s="58"/>
      <c r="D4" s="60"/>
      <c r="E4" s="60"/>
      <c r="F4" s="60"/>
      <c r="G4" s="60"/>
      <c r="H4" s="45" t="s">
        <v>8</v>
      </c>
      <c r="I4" s="45" t="s">
        <v>9</v>
      </c>
      <c r="J4" s="45" t="s">
        <v>10</v>
      </c>
      <c r="K4" s="45" t="s">
        <v>11</v>
      </c>
      <c r="L4" s="45" t="s">
        <v>12</v>
      </c>
      <c r="M4" s="45" t="s">
        <v>13</v>
      </c>
      <c r="N4" s="45" t="s">
        <v>14</v>
      </c>
    </row>
    <row r="5" spans="1:14" ht="19.5" x14ac:dyDescent="0.25">
      <c r="A5" s="30"/>
      <c r="B5" s="26" t="s">
        <v>15</v>
      </c>
      <c r="C5" s="27"/>
      <c r="D5" s="27"/>
      <c r="E5" s="27"/>
      <c r="F5" s="27"/>
      <c r="G5" s="28"/>
      <c r="H5" s="44"/>
      <c r="I5" s="44"/>
      <c r="J5" s="44"/>
      <c r="K5" s="44"/>
      <c r="L5" s="44"/>
      <c r="M5" s="44"/>
      <c r="N5" s="44"/>
    </row>
    <row r="6" spans="1:14" s="30" customFormat="1" ht="15.75" x14ac:dyDescent="0.25">
      <c r="B6" s="21" t="s">
        <v>27</v>
      </c>
      <c r="C6" s="3"/>
      <c r="D6" s="7"/>
      <c r="E6" s="7"/>
      <c r="F6" s="7"/>
      <c r="G6" s="6"/>
      <c r="H6" s="6"/>
      <c r="I6" s="6"/>
      <c r="J6" s="6"/>
      <c r="K6" s="6"/>
      <c r="L6" s="6"/>
      <c r="M6" s="6"/>
      <c r="N6" s="7"/>
    </row>
    <row r="7" spans="1:14" s="30" customFormat="1" ht="15.75" x14ac:dyDescent="0.25">
      <c r="A7" s="2" t="s">
        <v>65</v>
      </c>
      <c r="B7" s="20" t="s">
        <v>28</v>
      </c>
      <c r="C7" s="12">
        <v>100</v>
      </c>
      <c r="D7" s="7">
        <v>1.41</v>
      </c>
      <c r="E7" s="7">
        <v>6.01</v>
      </c>
      <c r="F7" s="7">
        <v>8.26</v>
      </c>
      <c r="G7" s="6">
        <v>92.8</v>
      </c>
      <c r="H7" s="6">
        <v>0.02</v>
      </c>
      <c r="I7" s="6">
        <v>6.65</v>
      </c>
      <c r="J7" s="6">
        <v>0</v>
      </c>
      <c r="K7" s="6">
        <v>35.5</v>
      </c>
      <c r="L7" s="6">
        <v>40.6</v>
      </c>
      <c r="M7" s="6">
        <v>20.7</v>
      </c>
      <c r="N7" s="6">
        <v>1.32</v>
      </c>
    </row>
    <row r="8" spans="1:14" s="30" customFormat="1" ht="15.75" x14ac:dyDescent="0.25">
      <c r="A8" s="2" t="s">
        <v>87</v>
      </c>
      <c r="B8" s="9" t="s">
        <v>94</v>
      </c>
      <c r="C8" s="1">
        <v>250</v>
      </c>
      <c r="D8" s="7">
        <v>2.75</v>
      </c>
      <c r="E8" s="7">
        <v>4.5</v>
      </c>
      <c r="F8" s="7">
        <v>16.25</v>
      </c>
      <c r="G8" s="7">
        <v>117.5</v>
      </c>
      <c r="H8" s="7">
        <f>0.08*1.25</f>
        <v>0.1</v>
      </c>
      <c r="I8" s="7">
        <f>10.38*1.25</f>
        <v>12.975000000000001</v>
      </c>
      <c r="J8" s="7">
        <v>0</v>
      </c>
      <c r="K8" s="7">
        <f>34.85*1.25</f>
        <v>43.5625</v>
      </c>
      <c r="L8" s="7">
        <f>49.28*1.25</f>
        <v>61.6</v>
      </c>
      <c r="M8" s="7">
        <f>20.75*1.25</f>
        <v>25.9375</v>
      </c>
      <c r="N8" s="7">
        <f>0.78*1.25</f>
        <v>0.97500000000000009</v>
      </c>
    </row>
    <row r="9" spans="1:14" s="30" customFormat="1" ht="15.75" x14ac:dyDescent="0.25">
      <c r="A9" s="2" t="s">
        <v>66</v>
      </c>
      <c r="B9" s="9" t="s">
        <v>95</v>
      </c>
      <c r="C9" s="3" t="s">
        <v>86</v>
      </c>
      <c r="D9" s="7">
        <v>12.1</v>
      </c>
      <c r="E9" s="7">
        <v>11.1</v>
      </c>
      <c r="F9" s="7">
        <v>2.4</v>
      </c>
      <c r="G9" s="6">
        <v>161.30000000000001</v>
      </c>
      <c r="H9" s="6">
        <v>0.1</v>
      </c>
      <c r="I9" s="6">
        <v>0.8</v>
      </c>
      <c r="J9" s="6">
        <v>0</v>
      </c>
      <c r="K9" s="6">
        <v>15.6</v>
      </c>
      <c r="L9" s="6">
        <v>89.9</v>
      </c>
      <c r="M9" s="6">
        <v>11.9</v>
      </c>
      <c r="N9" s="7">
        <v>0.6</v>
      </c>
    </row>
    <row r="10" spans="1:14" s="30" customFormat="1" ht="15.75" x14ac:dyDescent="0.25">
      <c r="A10" s="2" t="s">
        <v>70</v>
      </c>
      <c r="B10" s="9" t="s">
        <v>20</v>
      </c>
      <c r="C10" s="1">
        <v>180</v>
      </c>
      <c r="D10" s="7">
        <v>10.26</v>
      </c>
      <c r="E10" s="7">
        <v>6.6</v>
      </c>
      <c r="F10" s="7">
        <v>49.68</v>
      </c>
      <c r="G10" s="6">
        <v>298</v>
      </c>
      <c r="H10" s="7">
        <f>0.13*1.11</f>
        <v>0.14430000000000001</v>
      </c>
      <c r="I10" s="7">
        <v>0</v>
      </c>
      <c r="J10" s="7">
        <v>0</v>
      </c>
      <c r="K10" s="7">
        <f>17.78*1.11</f>
        <v>19.735800000000005</v>
      </c>
      <c r="L10" s="7">
        <v>244.72</v>
      </c>
      <c r="M10" s="7">
        <v>163</v>
      </c>
      <c r="N10" s="7">
        <f>5.47*1.11</f>
        <v>6.0716999999999999</v>
      </c>
    </row>
    <row r="11" spans="1:14" s="22" customFormat="1" ht="15.75" x14ac:dyDescent="0.25">
      <c r="A11" s="2" t="s">
        <v>68</v>
      </c>
      <c r="B11" s="9" t="s">
        <v>29</v>
      </c>
      <c r="C11" s="48">
        <v>200</v>
      </c>
      <c r="D11" s="16">
        <v>0.4</v>
      </c>
      <c r="E11" s="16">
        <v>0.2</v>
      </c>
      <c r="F11" s="16">
        <v>10.8</v>
      </c>
      <c r="G11" s="16">
        <v>47</v>
      </c>
      <c r="H11" s="17">
        <v>0</v>
      </c>
      <c r="I11" s="17">
        <v>13</v>
      </c>
      <c r="J11" s="17">
        <v>0.01</v>
      </c>
      <c r="K11" s="17">
        <v>0.3</v>
      </c>
      <c r="L11" s="17">
        <v>16</v>
      </c>
      <c r="M11" s="17">
        <v>2.2000000000000002</v>
      </c>
      <c r="N11" s="17">
        <v>9</v>
      </c>
    </row>
    <row r="12" spans="1:14" s="30" customFormat="1" ht="15.75" x14ac:dyDescent="0.25">
      <c r="A12" s="2" t="s">
        <v>71</v>
      </c>
      <c r="B12" s="9" t="s">
        <v>16</v>
      </c>
      <c r="C12" s="1">
        <v>35</v>
      </c>
      <c r="D12" s="7">
        <v>2.37</v>
      </c>
      <c r="E12" s="7">
        <v>0.3</v>
      </c>
      <c r="F12" s="7">
        <v>13.86</v>
      </c>
      <c r="G12" s="6">
        <v>70.14</v>
      </c>
      <c r="H12" s="6">
        <v>0.3</v>
      </c>
      <c r="I12" s="6">
        <v>0</v>
      </c>
      <c r="J12" s="6">
        <v>0</v>
      </c>
      <c r="K12" s="6">
        <v>6.9</v>
      </c>
      <c r="L12" s="6">
        <v>26.1</v>
      </c>
      <c r="M12" s="6">
        <v>9.9</v>
      </c>
      <c r="N12" s="7">
        <v>0.33</v>
      </c>
    </row>
    <row r="13" spans="1:14" s="30" customFormat="1" ht="15.75" x14ac:dyDescent="0.25">
      <c r="A13" s="2" t="s">
        <v>71</v>
      </c>
      <c r="B13" s="9" t="s">
        <v>30</v>
      </c>
      <c r="C13" s="1">
        <v>40</v>
      </c>
      <c r="D13" s="7">
        <v>3.16</v>
      </c>
      <c r="E13" s="7">
        <v>0.4</v>
      </c>
      <c r="F13" s="7">
        <v>18.48</v>
      </c>
      <c r="G13" s="7">
        <v>93.52</v>
      </c>
      <c r="H13" s="7">
        <v>0.04</v>
      </c>
      <c r="I13" s="7">
        <v>0</v>
      </c>
      <c r="J13" s="7">
        <v>0</v>
      </c>
      <c r="K13" s="7">
        <v>9.1999999999999993</v>
      </c>
      <c r="L13" s="7">
        <v>34.799999999999997</v>
      </c>
      <c r="M13" s="7">
        <v>13.2</v>
      </c>
      <c r="N13" s="7">
        <v>0.44</v>
      </c>
    </row>
    <row r="14" spans="1:14" s="30" customFormat="1" ht="15.75" x14ac:dyDescent="0.25">
      <c r="A14" s="2"/>
      <c r="B14" s="21" t="s">
        <v>17</v>
      </c>
      <c r="C14" s="3"/>
      <c r="D14" s="8">
        <f t="shared" ref="D14:N14" si="0">SUM(D7:D13)</f>
        <v>32.449999999999996</v>
      </c>
      <c r="E14" s="8">
        <f t="shared" si="0"/>
        <v>29.11</v>
      </c>
      <c r="F14" s="8">
        <f t="shared" si="0"/>
        <v>119.73</v>
      </c>
      <c r="G14" s="8">
        <f t="shared" si="0"/>
        <v>880.26</v>
      </c>
      <c r="H14" s="8">
        <f t="shared" si="0"/>
        <v>0.70430000000000015</v>
      </c>
      <c r="I14" s="8">
        <f t="shared" si="0"/>
        <v>33.424999999999997</v>
      </c>
      <c r="J14" s="8">
        <f t="shared" si="0"/>
        <v>0.01</v>
      </c>
      <c r="K14" s="8">
        <f t="shared" si="0"/>
        <v>130.79830000000001</v>
      </c>
      <c r="L14" s="8">
        <f t="shared" si="0"/>
        <v>513.72</v>
      </c>
      <c r="M14" s="8">
        <f t="shared" si="0"/>
        <v>246.83749999999998</v>
      </c>
      <c r="N14" s="8">
        <f t="shared" si="0"/>
        <v>18.736699999999999</v>
      </c>
    </row>
    <row r="15" spans="1:14" s="30" customFormat="1" ht="15.75" x14ac:dyDescent="0.25">
      <c r="A15" s="2"/>
      <c r="B15" s="24" t="s">
        <v>18</v>
      </c>
      <c r="C15" s="3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s="30" customFormat="1" ht="15.75" x14ac:dyDescent="0.25">
      <c r="A16" s="2"/>
      <c r="B16" s="23" t="s">
        <v>27</v>
      </c>
      <c r="C16" s="11"/>
      <c r="D16" s="4"/>
      <c r="E16" s="4"/>
      <c r="F16" s="4"/>
      <c r="G16" s="4"/>
      <c r="H16" s="7"/>
      <c r="I16" s="7"/>
      <c r="J16" s="7"/>
      <c r="K16" s="7"/>
      <c r="L16" s="7"/>
      <c r="M16" s="7"/>
      <c r="N16" s="7"/>
    </row>
    <row r="17" spans="1:14" s="30" customFormat="1" ht="15.75" x14ac:dyDescent="0.25">
      <c r="A17" s="2" t="s">
        <v>65</v>
      </c>
      <c r="B17" s="20" t="s">
        <v>28</v>
      </c>
      <c r="C17" s="12">
        <v>100</v>
      </c>
      <c r="D17" s="7">
        <v>1.41</v>
      </c>
      <c r="E17" s="7">
        <v>6.01</v>
      </c>
      <c r="F17" s="7">
        <v>8.26</v>
      </c>
      <c r="G17" s="6">
        <v>92.8</v>
      </c>
      <c r="H17" s="6">
        <v>0.02</v>
      </c>
      <c r="I17" s="6">
        <v>6.65</v>
      </c>
      <c r="J17" s="6">
        <v>0</v>
      </c>
      <c r="K17" s="6">
        <v>35.5</v>
      </c>
      <c r="L17" s="6">
        <v>40.6</v>
      </c>
      <c r="M17" s="6">
        <v>20.7</v>
      </c>
      <c r="N17" s="7">
        <v>1.32</v>
      </c>
    </row>
    <row r="18" spans="1:14" s="30" customFormat="1" ht="15.75" x14ac:dyDescent="0.25">
      <c r="A18" s="2" t="s">
        <v>61</v>
      </c>
      <c r="B18" s="9" t="s">
        <v>60</v>
      </c>
      <c r="C18" s="1">
        <v>250</v>
      </c>
      <c r="D18" s="7">
        <v>2.75</v>
      </c>
      <c r="E18" s="7">
        <v>4.5</v>
      </c>
      <c r="F18" s="7">
        <v>8</v>
      </c>
      <c r="G18" s="7">
        <v>82.5</v>
      </c>
      <c r="H18" s="7">
        <f>0.06*1.25</f>
        <v>7.4999999999999997E-2</v>
      </c>
      <c r="I18" s="7">
        <f>15.78*1.25</f>
        <v>19.724999999999998</v>
      </c>
      <c r="J18" s="7">
        <v>0</v>
      </c>
      <c r="K18" s="7">
        <f>49.25*1.25</f>
        <v>61.5625</v>
      </c>
      <c r="L18" s="7">
        <f>49*1.25</f>
        <v>61.25</v>
      </c>
      <c r="M18" s="7">
        <f>22.13*1.25</f>
        <v>27.662499999999998</v>
      </c>
      <c r="N18" s="7">
        <f>0.83*1.25</f>
        <v>1.0374999999999999</v>
      </c>
    </row>
    <row r="19" spans="1:14" s="30" customFormat="1" ht="15.75" x14ac:dyDescent="0.25">
      <c r="A19" s="2" t="s">
        <v>72</v>
      </c>
      <c r="B19" s="10" t="s">
        <v>92</v>
      </c>
      <c r="C19" s="11" t="s">
        <v>86</v>
      </c>
      <c r="D19" s="4">
        <v>14.3</v>
      </c>
      <c r="E19" s="4">
        <v>7</v>
      </c>
      <c r="F19" s="4">
        <v>9.6</v>
      </c>
      <c r="G19" s="4">
        <v>156</v>
      </c>
      <c r="H19" s="7">
        <v>0.06</v>
      </c>
      <c r="I19" s="7">
        <v>0.43</v>
      </c>
      <c r="J19" s="7">
        <v>18.5</v>
      </c>
      <c r="K19" s="7">
        <v>55.16</v>
      </c>
      <c r="L19" s="7">
        <v>124.38</v>
      </c>
      <c r="M19" s="7">
        <v>27.91</v>
      </c>
      <c r="N19" s="7">
        <v>0.99</v>
      </c>
    </row>
    <row r="20" spans="1:14" s="30" customFormat="1" ht="15.75" x14ac:dyDescent="0.25">
      <c r="A20" s="2" t="s">
        <v>75</v>
      </c>
      <c r="B20" s="40" t="s">
        <v>48</v>
      </c>
      <c r="C20" s="1">
        <v>180</v>
      </c>
      <c r="D20" s="7">
        <f>6.62*1.11</f>
        <v>7.3482000000000012</v>
      </c>
      <c r="E20" s="7">
        <f>5.42*1.11</f>
        <v>6.0162000000000004</v>
      </c>
      <c r="F20" s="7">
        <f>31.74*1.11</f>
        <v>35.231400000000001</v>
      </c>
      <c r="G20" s="7">
        <f>202.14*1.11</f>
        <v>224.37540000000001</v>
      </c>
      <c r="H20" s="7">
        <f>0.07*1.11</f>
        <v>7.7700000000000019E-2</v>
      </c>
      <c r="I20" s="7">
        <v>0</v>
      </c>
      <c r="J20" s="7">
        <v>0</v>
      </c>
      <c r="K20" s="7">
        <f>5.83*1.1</f>
        <v>6.4130000000000003</v>
      </c>
      <c r="L20" s="7">
        <f>44.6*1.11</f>
        <v>49.506000000000007</v>
      </c>
      <c r="M20" s="7">
        <f>25.34*1.11</f>
        <v>28.127400000000002</v>
      </c>
      <c r="N20" s="7">
        <f>1.32*1.11</f>
        <v>1.4652000000000003</v>
      </c>
    </row>
    <row r="21" spans="1:14" s="30" customFormat="1" ht="15.75" x14ac:dyDescent="0.25">
      <c r="A21" s="2" t="s">
        <v>76</v>
      </c>
      <c r="B21" s="10" t="s">
        <v>32</v>
      </c>
      <c r="C21" s="12">
        <v>200</v>
      </c>
      <c r="D21" s="12">
        <v>0.16</v>
      </c>
      <c r="E21" s="12">
        <v>0.16</v>
      </c>
      <c r="F21" s="12">
        <v>27.88</v>
      </c>
      <c r="G21" s="12">
        <v>114.6</v>
      </c>
      <c r="H21" s="7">
        <v>0.01</v>
      </c>
      <c r="I21" s="7">
        <v>0.9</v>
      </c>
      <c r="J21" s="7">
        <v>0</v>
      </c>
      <c r="K21" s="7">
        <v>14.18</v>
      </c>
      <c r="L21" s="7">
        <v>4.4000000000000004</v>
      </c>
      <c r="M21" s="7">
        <v>5.14</v>
      </c>
      <c r="N21" s="7">
        <f>0.95*1.11</f>
        <v>1.0545</v>
      </c>
    </row>
    <row r="22" spans="1:14" s="30" customFormat="1" ht="15.75" x14ac:dyDescent="0.25">
      <c r="A22" s="2" t="s">
        <v>71</v>
      </c>
      <c r="B22" s="9" t="s">
        <v>16</v>
      </c>
      <c r="C22" s="1">
        <v>35</v>
      </c>
      <c r="D22" s="7">
        <v>2.37</v>
      </c>
      <c r="E22" s="7">
        <v>0.3</v>
      </c>
      <c r="F22" s="7">
        <v>13.86</v>
      </c>
      <c r="G22" s="6">
        <v>70.14</v>
      </c>
      <c r="H22" s="6">
        <v>0.3</v>
      </c>
      <c r="I22" s="6">
        <v>0</v>
      </c>
      <c r="J22" s="6">
        <v>0</v>
      </c>
      <c r="K22" s="6">
        <v>6.9</v>
      </c>
      <c r="L22" s="6">
        <v>26.1</v>
      </c>
      <c r="M22" s="6">
        <v>9.9</v>
      </c>
      <c r="N22" s="7">
        <v>0.33</v>
      </c>
    </row>
    <row r="23" spans="1:14" s="30" customFormat="1" ht="15.75" x14ac:dyDescent="0.25">
      <c r="A23" s="2" t="s">
        <v>71</v>
      </c>
      <c r="B23" s="9" t="s">
        <v>30</v>
      </c>
      <c r="C23" s="1">
        <v>40</v>
      </c>
      <c r="D23" s="7">
        <v>3.16</v>
      </c>
      <c r="E23" s="7">
        <v>0.4</v>
      </c>
      <c r="F23" s="7">
        <v>18.48</v>
      </c>
      <c r="G23" s="7">
        <v>93.52</v>
      </c>
      <c r="H23" s="7">
        <v>0.04</v>
      </c>
      <c r="I23" s="7">
        <v>0</v>
      </c>
      <c r="J23" s="7">
        <v>0</v>
      </c>
      <c r="K23" s="7">
        <v>9.1999999999999993</v>
      </c>
      <c r="L23" s="7">
        <v>34.799999999999997</v>
      </c>
      <c r="M23" s="7">
        <v>13.2</v>
      </c>
      <c r="N23" s="7">
        <v>0.44</v>
      </c>
    </row>
    <row r="24" spans="1:14" s="30" customFormat="1" ht="15.75" x14ac:dyDescent="0.25">
      <c r="A24" s="2"/>
      <c r="B24" s="24" t="s">
        <v>17</v>
      </c>
      <c r="C24" s="11"/>
      <c r="D24" s="15">
        <f t="shared" ref="D24:N24" si="1">SUM(D17:D23)</f>
        <v>31.498200000000004</v>
      </c>
      <c r="E24" s="15">
        <f t="shared" si="1"/>
        <v>24.386199999999999</v>
      </c>
      <c r="F24" s="15">
        <f t="shared" si="1"/>
        <v>121.31140000000001</v>
      </c>
      <c r="G24" s="15">
        <f t="shared" si="1"/>
        <v>833.93540000000007</v>
      </c>
      <c r="H24" s="15">
        <f t="shared" si="1"/>
        <v>0.5827</v>
      </c>
      <c r="I24" s="15">
        <f t="shared" si="1"/>
        <v>27.704999999999998</v>
      </c>
      <c r="J24" s="15">
        <f t="shared" si="1"/>
        <v>18.5</v>
      </c>
      <c r="K24" s="15">
        <f t="shared" si="1"/>
        <v>188.91550000000001</v>
      </c>
      <c r="L24" s="15">
        <f t="shared" si="1"/>
        <v>341.036</v>
      </c>
      <c r="M24" s="15">
        <f t="shared" si="1"/>
        <v>132.63990000000001</v>
      </c>
      <c r="N24" s="15">
        <f t="shared" si="1"/>
        <v>6.6372000000000009</v>
      </c>
    </row>
    <row r="25" spans="1:14" s="30" customFormat="1" ht="15.75" x14ac:dyDescent="0.25">
      <c r="A25" s="2"/>
      <c r="B25" s="23" t="s">
        <v>19</v>
      </c>
      <c r="C25" s="11"/>
      <c r="D25" s="4"/>
      <c r="E25" s="4"/>
      <c r="F25" s="4"/>
      <c r="G25" s="4"/>
      <c r="H25" s="7"/>
      <c r="I25" s="7"/>
      <c r="J25" s="7"/>
      <c r="K25" s="7"/>
      <c r="L25" s="7"/>
      <c r="M25" s="7"/>
      <c r="N25" s="7"/>
    </row>
    <row r="26" spans="1:14" s="30" customFormat="1" ht="15.75" x14ac:dyDescent="0.25">
      <c r="A26" s="2"/>
      <c r="B26" s="21" t="s">
        <v>27</v>
      </c>
      <c r="C26" s="3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</row>
    <row r="27" spans="1:14" s="30" customFormat="1" ht="15.75" x14ac:dyDescent="0.25">
      <c r="A27" s="2" t="s">
        <v>65</v>
      </c>
      <c r="B27" s="20" t="s">
        <v>28</v>
      </c>
      <c r="C27" s="12">
        <v>100</v>
      </c>
      <c r="D27" s="7">
        <v>1.41</v>
      </c>
      <c r="E27" s="7">
        <v>6.01</v>
      </c>
      <c r="F27" s="7">
        <v>8.26</v>
      </c>
      <c r="G27" s="6">
        <v>92.8</v>
      </c>
      <c r="H27" s="6">
        <v>0.02</v>
      </c>
      <c r="I27" s="6">
        <v>6.65</v>
      </c>
      <c r="J27" s="6">
        <v>0</v>
      </c>
      <c r="K27" s="6">
        <v>35.5</v>
      </c>
      <c r="L27" s="6">
        <v>40.6</v>
      </c>
      <c r="M27" s="6">
        <v>20.7</v>
      </c>
      <c r="N27" s="7">
        <v>1.32</v>
      </c>
    </row>
    <row r="28" spans="1:14" s="30" customFormat="1" ht="15.75" x14ac:dyDescent="0.25">
      <c r="A28" s="2" t="s">
        <v>63</v>
      </c>
      <c r="B28" s="9" t="s">
        <v>62</v>
      </c>
      <c r="C28" s="1">
        <v>250</v>
      </c>
      <c r="D28" s="7">
        <f>5.49*1.25</f>
        <v>6.8625000000000007</v>
      </c>
      <c r="E28" s="7">
        <f>2.84*1.25</f>
        <v>3.55</v>
      </c>
      <c r="F28" s="7">
        <f>17.45*1.25</f>
        <v>21.8125</v>
      </c>
      <c r="G28" s="7">
        <f>118.25*1.25</f>
        <v>147.8125</v>
      </c>
      <c r="H28" s="7">
        <f>0.11*1.25</f>
        <v>0.13750000000000001</v>
      </c>
      <c r="I28" s="7">
        <f>8.25*1.25</f>
        <v>10.3125</v>
      </c>
      <c r="J28" s="7">
        <v>0</v>
      </c>
      <c r="K28" s="7">
        <f>29.25*1.25</f>
        <v>36.5625</v>
      </c>
      <c r="L28" s="7">
        <f>67.58*1.25</f>
        <v>84.474999999999994</v>
      </c>
      <c r="M28" s="7">
        <f>27.28*1.25</f>
        <v>34.1</v>
      </c>
      <c r="N28" s="7">
        <f>1.13*1.25</f>
        <v>1.4124999999999999</v>
      </c>
    </row>
    <row r="29" spans="1:14" s="30" customFormat="1" ht="15.75" x14ac:dyDescent="0.25">
      <c r="A29" s="2" t="s">
        <v>64</v>
      </c>
      <c r="B29" s="9" t="s">
        <v>89</v>
      </c>
      <c r="C29" s="3" t="s">
        <v>86</v>
      </c>
      <c r="D29" s="7">
        <v>13</v>
      </c>
      <c r="E29" s="7">
        <v>8.1999999999999993</v>
      </c>
      <c r="F29" s="7">
        <v>12</v>
      </c>
      <c r="G29" s="7">
        <v>203.75</v>
      </c>
      <c r="H29" s="7">
        <v>178</v>
      </c>
      <c r="I29" s="7">
        <v>0.18</v>
      </c>
      <c r="J29" s="7">
        <v>15.13</v>
      </c>
      <c r="K29" s="7">
        <v>29.36</v>
      </c>
      <c r="L29" s="7">
        <v>124.95</v>
      </c>
      <c r="M29" s="7">
        <v>23.38</v>
      </c>
      <c r="N29" s="7">
        <v>1.7</v>
      </c>
    </row>
    <row r="30" spans="1:14" s="30" customFormat="1" ht="15.75" x14ac:dyDescent="0.25">
      <c r="A30" s="2" t="s">
        <v>59</v>
      </c>
      <c r="B30" s="9" t="s">
        <v>34</v>
      </c>
      <c r="C30" s="12">
        <v>180</v>
      </c>
      <c r="D30" s="7">
        <v>10.26</v>
      </c>
      <c r="E30" s="7">
        <v>6.6</v>
      </c>
      <c r="F30" s="7">
        <v>49.68</v>
      </c>
      <c r="G30" s="6">
        <v>298</v>
      </c>
      <c r="H30" s="7">
        <f>0.05*1.11</f>
        <v>5.5500000000000008E-2</v>
      </c>
      <c r="I30" s="7">
        <v>0</v>
      </c>
      <c r="J30" s="7">
        <v>0</v>
      </c>
      <c r="K30" s="7">
        <f>23.14*1.11</f>
        <v>25.685400000000001</v>
      </c>
      <c r="L30" s="7">
        <f>185.89*1.11</f>
        <v>206.33789999999999</v>
      </c>
      <c r="M30" s="7">
        <f>22.79*1.11</f>
        <v>25.296900000000001</v>
      </c>
      <c r="N30" s="7">
        <f>1.04*1.11</f>
        <v>1.1544000000000001</v>
      </c>
    </row>
    <row r="31" spans="1:14" s="30" customFormat="1" ht="15.75" x14ac:dyDescent="0.25">
      <c r="A31" s="2" t="s">
        <v>67</v>
      </c>
      <c r="B31" s="10" t="s">
        <v>29</v>
      </c>
      <c r="C31" s="3">
        <v>200</v>
      </c>
      <c r="D31" s="7">
        <v>1</v>
      </c>
      <c r="E31" s="7">
        <v>0</v>
      </c>
      <c r="F31" s="7">
        <v>20.2</v>
      </c>
      <c r="G31" s="6">
        <v>84.8</v>
      </c>
      <c r="H31" s="6">
        <v>0.02</v>
      </c>
      <c r="I31" s="6">
        <v>4</v>
      </c>
      <c r="J31" s="6">
        <v>0</v>
      </c>
      <c r="K31" s="6">
        <v>14</v>
      </c>
      <c r="L31" s="6">
        <v>1.4</v>
      </c>
      <c r="M31" s="6">
        <v>8</v>
      </c>
      <c r="N31" s="7">
        <v>2.8</v>
      </c>
    </row>
    <row r="32" spans="1:14" s="30" customFormat="1" ht="15.75" x14ac:dyDescent="0.25">
      <c r="A32" s="2" t="s">
        <v>71</v>
      </c>
      <c r="B32" s="9" t="s">
        <v>16</v>
      </c>
      <c r="C32" s="1">
        <v>35</v>
      </c>
      <c r="D32" s="7">
        <v>2.37</v>
      </c>
      <c r="E32" s="7">
        <v>0.3</v>
      </c>
      <c r="F32" s="7">
        <v>13.86</v>
      </c>
      <c r="G32" s="6">
        <v>70.14</v>
      </c>
      <c r="H32" s="6">
        <v>0.3</v>
      </c>
      <c r="I32" s="6">
        <v>0</v>
      </c>
      <c r="J32" s="6">
        <v>0</v>
      </c>
      <c r="K32" s="6">
        <v>6.9</v>
      </c>
      <c r="L32" s="6">
        <v>26.1</v>
      </c>
      <c r="M32" s="6">
        <v>9.9</v>
      </c>
      <c r="N32" s="7">
        <v>0.33</v>
      </c>
    </row>
    <row r="33" spans="1:14" s="30" customFormat="1" ht="15.75" x14ac:dyDescent="0.25">
      <c r="A33" s="2" t="s">
        <v>71</v>
      </c>
      <c r="B33" s="9" t="s">
        <v>30</v>
      </c>
      <c r="C33" s="1">
        <v>40</v>
      </c>
      <c r="D33" s="7">
        <v>3.16</v>
      </c>
      <c r="E33" s="7">
        <v>0.4</v>
      </c>
      <c r="F33" s="7">
        <v>18.48</v>
      </c>
      <c r="G33" s="7">
        <v>93.52</v>
      </c>
      <c r="H33" s="7">
        <v>0.04</v>
      </c>
      <c r="I33" s="7">
        <v>0</v>
      </c>
      <c r="J33" s="7">
        <v>0</v>
      </c>
      <c r="K33" s="7">
        <v>9.1999999999999993</v>
      </c>
      <c r="L33" s="7">
        <v>34.799999999999997</v>
      </c>
      <c r="M33" s="7">
        <v>13.2</v>
      </c>
      <c r="N33" s="7">
        <v>0.44</v>
      </c>
    </row>
    <row r="34" spans="1:14" s="30" customFormat="1" ht="15.75" x14ac:dyDescent="0.25">
      <c r="A34" s="2"/>
      <c r="B34" s="21" t="s">
        <v>17</v>
      </c>
      <c r="C34" s="3"/>
      <c r="D34" s="8">
        <f t="shared" ref="D34:N34" si="2">SUM(D27:D33)</f>
        <v>38.0625</v>
      </c>
      <c r="E34" s="8">
        <f t="shared" si="2"/>
        <v>25.06</v>
      </c>
      <c r="F34" s="8">
        <f t="shared" si="2"/>
        <v>144.29249999999999</v>
      </c>
      <c r="G34" s="8">
        <f t="shared" si="2"/>
        <v>990.82249999999988</v>
      </c>
      <c r="H34" s="8">
        <f>SUM(H27:H33)</f>
        <v>178.57300000000001</v>
      </c>
      <c r="I34" s="8">
        <f t="shared" si="2"/>
        <v>21.142499999999998</v>
      </c>
      <c r="J34" s="8">
        <f t="shared" si="2"/>
        <v>15.13</v>
      </c>
      <c r="K34" s="8">
        <f t="shared" si="2"/>
        <v>157.2079</v>
      </c>
      <c r="L34" s="8">
        <f t="shared" si="2"/>
        <v>518.66289999999992</v>
      </c>
      <c r="M34" s="8">
        <f t="shared" si="2"/>
        <v>134.57689999999999</v>
      </c>
      <c r="N34" s="8">
        <f t="shared" si="2"/>
        <v>9.1569000000000003</v>
      </c>
    </row>
    <row r="35" spans="1:14" s="30" customFormat="1" ht="15.75" x14ac:dyDescent="0.25">
      <c r="A35" s="2"/>
      <c r="B35" s="24" t="s">
        <v>21</v>
      </c>
      <c r="C35" s="11"/>
      <c r="D35" s="4"/>
      <c r="E35" s="4"/>
      <c r="F35" s="4"/>
      <c r="G35" s="4"/>
      <c r="H35" s="7"/>
      <c r="I35" s="7"/>
      <c r="J35" s="7"/>
      <c r="K35" s="7"/>
      <c r="L35" s="7"/>
      <c r="M35" s="7"/>
      <c r="N35" s="7"/>
    </row>
    <row r="36" spans="1:14" s="30" customFormat="1" ht="15.75" x14ac:dyDescent="0.25">
      <c r="B36" s="21" t="s">
        <v>27</v>
      </c>
      <c r="C36" s="3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</row>
    <row r="37" spans="1:14" s="30" customFormat="1" ht="15.75" x14ac:dyDescent="0.25">
      <c r="A37" s="2" t="s">
        <v>65</v>
      </c>
      <c r="B37" s="20" t="s">
        <v>28</v>
      </c>
      <c r="C37" s="12">
        <v>100</v>
      </c>
      <c r="D37" s="7">
        <v>1.41</v>
      </c>
      <c r="E37" s="7">
        <v>6.01</v>
      </c>
      <c r="F37" s="7">
        <v>8.26</v>
      </c>
      <c r="G37" s="6">
        <v>92.8</v>
      </c>
      <c r="H37" s="6">
        <v>0.02</v>
      </c>
      <c r="I37" s="6">
        <v>6.65</v>
      </c>
      <c r="J37" s="6">
        <v>0</v>
      </c>
      <c r="K37" s="6">
        <v>35.5</v>
      </c>
      <c r="L37" s="6">
        <v>40.6</v>
      </c>
      <c r="M37" s="6">
        <v>20.7</v>
      </c>
      <c r="N37" s="6">
        <v>1.32</v>
      </c>
    </row>
    <row r="38" spans="1:14" s="30" customFormat="1" ht="15.75" x14ac:dyDescent="0.25">
      <c r="A38" s="2" t="s">
        <v>56</v>
      </c>
      <c r="B38" s="38" t="s">
        <v>55</v>
      </c>
      <c r="C38" s="1">
        <v>250</v>
      </c>
      <c r="D38" s="7">
        <v>2.68</v>
      </c>
      <c r="E38" s="7">
        <v>2.84</v>
      </c>
      <c r="F38" s="7">
        <v>17.46</v>
      </c>
      <c r="G38" s="6">
        <v>118.25</v>
      </c>
      <c r="H38" s="6">
        <v>0.11</v>
      </c>
      <c r="I38" s="6">
        <v>8.3000000000000007</v>
      </c>
      <c r="J38" s="6">
        <v>0</v>
      </c>
      <c r="K38" s="6">
        <v>29.2</v>
      </c>
      <c r="L38" s="6">
        <v>67.569999999999993</v>
      </c>
      <c r="M38" s="6">
        <v>27.27</v>
      </c>
      <c r="N38" s="7">
        <v>1.125</v>
      </c>
    </row>
    <row r="39" spans="1:14" s="30" customFormat="1" ht="15.75" x14ac:dyDescent="0.25">
      <c r="A39" s="2" t="s">
        <v>77</v>
      </c>
      <c r="B39" s="9" t="s">
        <v>35</v>
      </c>
      <c r="C39" s="1">
        <v>280</v>
      </c>
      <c r="D39" s="7">
        <v>22.2</v>
      </c>
      <c r="E39" s="7">
        <v>68</v>
      </c>
      <c r="F39" s="7">
        <v>28</v>
      </c>
      <c r="G39" s="7">
        <v>716</v>
      </c>
      <c r="H39" s="7">
        <v>0.26</v>
      </c>
      <c r="I39" s="7">
        <v>2</v>
      </c>
      <c r="J39" s="7">
        <v>200</v>
      </c>
      <c r="K39" s="7">
        <v>24</v>
      </c>
      <c r="L39" s="7">
        <v>340</v>
      </c>
      <c r="M39" s="7">
        <v>70</v>
      </c>
      <c r="N39" s="7">
        <v>2</v>
      </c>
    </row>
    <row r="40" spans="1:14" s="30" customFormat="1" ht="15.75" x14ac:dyDescent="0.25">
      <c r="A40" s="2" t="s">
        <v>68</v>
      </c>
      <c r="B40" s="9" t="s">
        <v>40</v>
      </c>
      <c r="C40" s="48">
        <v>200</v>
      </c>
      <c r="D40" s="16">
        <v>0.4</v>
      </c>
      <c r="E40" s="16">
        <v>0.2</v>
      </c>
      <c r="F40" s="16">
        <v>10.8</v>
      </c>
      <c r="G40" s="16">
        <v>47</v>
      </c>
      <c r="H40" s="17">
        <v>0</v>
      </c>
      <c r="I40" s="17">
        <v>13</v>
      </c>
      <c r="J40" s="17">
        <v>0.01</v>
      </c>
      <c r="K40" s="17">
        <v>0.3</v>
      </c>
      <c r="L40" s="17">
        <v>16</v>
      </c>
      <c r="M40" s="17">
        <v>2.2000000000000002</v>
      </c>
      <c r="N40" s="17">
        <v>9</v>
      </c>
    </row>
    <row r="41" spans="1:14" s="30" customFormat="1" ht="15.75" x14ac:dyDescent="0.25">
      <c r="A41" s="2" t="s">
        <v>71</v>
      </c>
      <c r="B41" s="9" t="s">
        <v>16</v>
      </c>
      <c r="C41" s="3" t="s">
        <v>69</v>
      </c>
      <c r="D41" s="7">
        <v>2.37</v>
      </c>
      <c r="E41" s="7">
        <v>0.3</v>
      </c>
      <c r="F41" s="7">
        <v>13.86</v>
      </c>
      <c r="G41" s="6">
        <v>70.14</v>
      </c>
      <c r="H41" s="6">
        <v>0.3</v>
      </c>
      <c r="I41" s="6">
        <v>0</v>
      </c>
      <c r="J41" s="6">
        <v>0</v>
      </c>
      <c r="K41" s="6">
        <v>6.9</v>
      </c>
      <c r="L41" s="6">
        <v>26.1</v>
      </c>
      <c r="M41" s="6">
        <v>9.9</v>
      </c>
      <c r="N41" s="7">
        <v>0.33</v>
      </c>
    </row>
    <row r="42" spans="1:14" s="30" customFormat="1" ht="15.75" x14ac:dyDescent="0.25">
      <c r="A42" s="2" t="s">
        <v>71</v>
      </c>
      <c r="B42" s="9" t="s">
        <v>30</v>
      </c>
      <c r="C42" s="1">
        <v>40</v>
      </c>
      <c r="D42" s="7">
        <v>3.16</v>
      </c>
      <c r="E42" s="7">
        <v>0.4</v>
      </c>
      <c r="F42" s="7">
        <v>18.48</v>
      </c>
      <c r="G42" s="7">
        <v>93.52</v>
      </c>
      <c r="H42" s="7">
        <v>0.04</v>
      </c>
      <c r="I42" s="7">
        <v>0</v>
      </c>
      <c r="J42" s="7">
        <v>0</v>
      </c>
      <c r="K42" s="7">
        <v>9.1999999999999993</v>
      </c>
      <c r="L42" s="7">
        <v>34.799999999999997</v>
      </c>
      <c r="M42" s="7">
        <v>13.2</v>
      </c>
      <c r="N42" s="7">
        <v>0.44</v>
      </c>
    </row>
    <row r="43" spans="1:14" s="30" customFormat="1" ht="15.75" x14ac:dyDescent="0.25">
      <c r="A43" s="29" t="s">
        <v>50</v>
      </c>
      <c r="B43" s="9" t="s">
        <v>49</v>
      </c>
      <c r="C43" s="47">
        <v>100</v>
      </c>
      <c r="D43" s="33">
        <v>1.5</v>
      </c>
      <c r="E43" s="33">
        <v>0.5</v>
      </c>
      <c r="F43" s="33">
        <v>21</v>
      </c>
      <c r="G43" s="33">
        <v>95</v>
      </c>
      <c r="H43" s="34">
        <v>0.03</v>
      </c>
      <c r="I43" s="34">
        <v>10</v>
      </c>
      <c r="J43" s="34">
        <v>0</v>
      </c>
      <c r="K43" s="34"/>
      <c r="L43" s="34">
        <v>16</v>
      </c>
      <c r="M43" s="37">
        <v>11</v>
      </c>
      <c r="N43" s="33">
        <v>9</v>
      </c>
    </row>
    <row r="44" spans="1:14" s="30" customFormat="1" ht="15.75" x14ac:dyDescent="0.25">
      <c r="A44" s="2"/>
      <c r="B44" s="25" t="s">
        <v>17</v>
      </c>
      <c r="C44" s="3"/>
      <c r="D44" s="8">
        <f t="shared" ref="D44:N44" si="3">SUM(D37:D42)</f>
        <v>32.22</v>
      </c>
      <c r="E44" s="8">
        <f t="shared" si="3"/>
        <v>77.75</v>
      </c>
      <c r="F44" s="8">
        <f t="shared" si="3"/>
        <v>96.86</v>
      </c>
      <c r="G44" s="8">
        <f t="shared" si="3"/>
        <v>1137.71</v>
      </c>
      <c r="H44" s="8">
        <f t="shared" si="3"/>
        <v>0.73</v>
      </c>
      <c r="I44" s="8">
        <f t="shared" si="3"/>
        <v>29.950000000000003</v>
      </c>
      <c r="J44" s="8">
        <f t="shared" si="3"/>
        <v>200.01</v>
      </c>
      <c r="K44" s="8">
        <f t="shared" si="3"/>
        <v>105.10000000000001</v>
      </c>
      <c r="L44" s="8">
        <f t="shared" si="3"/>
        <v>525.06999999999994</v>
      </c>
      <c r="M44" s="8">
        <f t="shared" si="3"/>
        <v>143.26999999999998</v>
      </c>
      <c r="N44" s="8">
        <f t="shared" si="3"/>
        <v>14.215</v>
      </c>
    </row>
    <row r="45" spans="1:14" s="30" customFormat="1" ht="15.75" x14ac:dyDescent="0.25">
      <c r="B45" s="23" t="s">
        <v>22</v>
      </c>
      <c r="C45" s="18"/>
      <c r="D45" s="19"/>
      <c r="E45" s="19"/>
      <c r="F45" s="19"/>
      <c r="G45" s="19"/>
      <c r="H45" s="7"/>
      <c r="I45" s="7"/>
      <c r="J45" s="7"/>
      <c r="K45" s="7"/>
      <c r="L45" s="7"/>
      <c r="M45" s="7"/>
      <c r="N45" s="7"/>
    </row>
    <row r="46" spans="1:14" s="30" customFormat="1" ht="15.75" x14ac:dyDescent="0.25">
      <c r="B46" s="21" t="s">
        <v>27</v>
      </c>
      <c r="C46" s="3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</row>
    <row r="47" spans="1:14" s="30" customFormat="1" ht="15.75" x14ac:dyDescent="0.25">
      <c r="A47" s="2" t="s">
        <v>65</v>
      </c>
      <c r="B47" s="20" t="s">
        <v>28</v>
      </c>
      <c r="C47" s="12">
        <v>100</v>
      </c>
      <c r="D47" s="7">
        <v>1.41</v>
      </c>
      <c r="E47" s="7">
        <v>6.01</v>
      </c>
      <c r="F47" s="7">
        <v>8.26</v>
      </c>
      <c r="G47" s="6">
        <v>92.8</v>
      </c>
      <c r="H47" s="6">
        <v>0.02</v>
      </c>
      <c r="I47" s="6">
        <v>6.65</v>
      </c>
      <c r="J47" s="6">
        <v>0</v>
      </c>
      <c r="K47" s="6">
        <v>35.5</v>
      </c>
      <c r="L47" s="6">
        <v>40.6</v>
      </c>
      <c r="M47" s="6">
        <v>20.7</v>
      </c>
      <c r="N47" s="6">
        <v>1.32</v>
      </c>
    </row>
    <row r="48" spans="1:14" s="30" customFormat="1" ht="15.75" x14ac:dyDescent="0.25">
      <c r="A48" s="2" t="s">
        <v>78</v>
      </c>
      <c r="B48" s="9" t="s">
        <v>36</v>
      </c>
      <c r="C48" s="1">
        <v>250</v>
      </c>
      <c r="D48" s="7">
        <f>1.59*1.25</f>
        <v>1.9875</v>
      </c>
      <c r="E48" s="7">
        <f>4.99*1.25</f>
        <v>6.2375000000000007</v>
      </c>
      <c r="F48" s="7">
        <f>9.14*1.25</f>
        <v>11.425000000000001</v>
      </c>
      <c r="G48" s="7">
        <f>95.25*1.25</f>
        <v>119.0625</v>
      </c>
      <c r="H48" s="7">
        <f>0.08*1.25</f>
        <v>0.1</v>
      </c>
      <c r="I48" s="7">
        <f>10.38*1.25</f>
        <v>12.975000000000001</v>
      </c>
      <c r="J48" s="7">
        <v>0</v>
      </c>
      <c r="K48" s="7">
        <f>34.85*1.25</f>
        <v>43.5625</v>
      </c>
      <c r="L48" s="7">
        <f>49.28*1.25</f>
        <v>61.6</v>
      </c>
      <c r="M48" s="7">
        <f>20.75*1.25</f>
        <v>25.9375</v>
      </c>
      <c r="N48" s="7">
        <f>0.78*1.25</f>
        <v>0.97500000000000009</v>
      </c>
    </row>
    <row r="49" spans="1:14" s="30" customFormat="1" ht="15.75" x14ac:dyDescent="0.25">
      <c r="A49" s="2" t="s">
        <v>79</v>
      </c>
      <c r="B49" s="9" t="s">
        <v>90</v>
      </c>
      <c r="C49" s="3" t="s">
        <v>86</v>
      </c>
      <c r="D49" s="4">
        <v>14.3</v>
      </c>
      <c r="E49" s="4">
        <v>7</v>
      </c>
      <c r="F49" s="4">
        <v>9.6</v>
      </c>
      <c r="G49" s="4">
        <v>156</v>
      </c>
      <c r="H49" s="7">
        <v>0.06</v>
      </c>
      <c r="I49" s="6">
        <v>1.44</v>
      </c>
      <c r="J49" s="6">
        <v>18.5</v>
      </c>
      <c r="K49" s="6">
        <v>63.81</v>
      </c>
      <c r="L49" s="6">
        <v>122.38</v>
      </c>
      <c r="M49" s="6">
        <v>20.350000000000001</v>
      </c>
      <c r="N49" s="7">
        <v>0.63</v>
      </c>
    </row>
    <row r="50" spans="1:14" s="30" customFormat="1" ht="15.75" x14ac:dyDescent="0.25">
      <c r="A50" s="2" t="s">
        <v>74</v>
      </c>
      <c r="B50" s="2" t="s">
        <v>73</v>
      </c>
      <c r="C50" s="1">
        <v>180</v>
      </c>
      <c r="D50" s="7">
        <v>3.21</v>
      </c>
      <c r="E50" s="7">
        <v>6.28</v>
      </c>
      <c r="F50" s="7">
        <v>22.21</v>
      </c>
      <c r="G50" s="6">
        <v>166.67</v>
      </c>
      <c r="H50" s="6">
        <v>0.18</v>
      </c>
      <c r="I50" s="6">
        <v>22.89</v>
      </c>
      <c r="J50" s="6">
        <v>31.75</v>
      </c>
      <c r="K50" s="6">
        <v>0</v>
      </c>
      <c r="L50" s="6">
        <v>21.68</v>
      </c>
      <c r="M50" s="6">
        <v>88.54</v>
      </c>
      <c r="N50" s="7">
        <v>32.26</v>
      </c>
    </row>
    <row r="51" spans="1:14" s="30" customFormat="1" ht="15.75" x14ac:dyDescent="0.25">
      <c r="A51" s="2" t="s">
        <v>76</v>
      </c>
      <c r="B51" s="9" t="s">
        <v>37</v>
      </c>
      <c r="C51" s="3">
        <v>200</v>
      </c>
      <c r="D51" s="7">
        <v>0.68</v>
      </c>
      <c r="E51" s="7">
        <v>0.28000000000000003</v>
      </c>
      <c r="F51" s="7">
        <v>20.76</v>
      </c>
      <c r="G51" s="6">
        <v>88.2</v>
      </c>
      <c r="H51" s="6">
        <v>0.01</v>
      </c>
      <c r="I51" s="6">
        <v>0.9</v>
      </c>
      <c r="J51" s="6">
        <v>0</v>
      </c>
      <c r="K51" s="6">
        <v>21.34</v>
      </c>
      <c r="L51" s="6">
        <v>3.44</v>
      </c>
      <c r="M51" s="6">
        <v>3.44</v>
      </c>
      <c r="N51" s="7">
        <v>0.63</v>
      </c>
    </row>
    <row r="52" spans="1:14" s="30" customFormat="1" ht="15.75" x14ac:dyDescent="0.25">
      <c r="A52" s="2" t="s">
        <v>71</v>
      </c>
      <c r="B52" s="9" t="s">
        <v>16</v>
      </c>
      <c r="C52" s="1">
        <v>35</v>
      </c>
      <c r="D52" s="7">
        <v>2.37</v>
      </c>
      <c r="E52" s="7">
        <v>0.3</v>
      </c>
      <c r="F52" s="7">
        <v>13.86</v>
      </c>
      <c r="G52" s="6">
        <v>70.14</v>
      </c>
      <c r="H52" s="6">
        <v>0.3</v>
      </c>
      <c r="I52" s="6">
        <v>0</v>
      </c>
      <c r="J52" s="6">
        <v>0</v>
      </c>
      <c r="K52" s="6">
        <v>6.9</v>
      </c>
      <c r="L52" s="6">
        <v>26.1</v>
      </c>
      <c r="M52" s="6">
        <v>9.9</v>
      </c>
      <c r="N52" s="7">
        <v>0.33</v>
      </c>
    </row>
    <row r="53" spans="1:14" s="30" customFormat="1" ht="15.75" x14ac:dyDescent="0.25">
      <c r="A53" s="2" t="s">
        <v>71</v>
      </c>
      <c r="B53" s="9" t="s">
        <v>30</v>
      </c>
      <c r="C53" s="1">
        <v>40</v>
      </c>
      <c r="D53" s="7">
        <v>3.16</v>
      </c>
      <c r="E53" s="7">
        <v>0.4</v>
      </c>
      <c r="F53" s="7">
        <v>18.48</v>
      </c>
      <c r="G53" s="7">
        <v>93.52</v>
      </c>
      <c r="H53" s="7">
        <v>0.04</v>
      </c>
      <c r="I53" s="7">
        <v>0</v>
      </c>
      <c r="J53" s="7">
        <v>0</v>
      </c>
      <c r="K53" s="7">
        <v>9.1999999999999993</v>
      </c>
      <c r="L53" s="7">
        <v>34.799999999999997</v>
      </c>
      <c r="M53" s="7">
        <v>13.2</v>
      </c>
      <c r="N53" s="7">
        <v>0.44</v>
      </c>
    </row>
    <row r="54" spans="1:14" s="30" customFormat="1" ht="15.75" x14ac:dyDescent="0.25">
      <c r="A54" s="2"/>
      <c r="B54" s="21" t="s">
        <v>17</v>
      </c>
      <c r="C54" s="3"/>
      <c r="D54" s="8">
        <f t="shared" ref="D54:N54" si="4">SUM(D47:D52)</f>
        <v>23.957500000000003</v>
      </c>
      <c r="E54" s="8">
        <f t="shared" si="4"/>
        <v>26.107500000000005</v>
      </c>
      <c r="F54" s="8">
        <f t="shared" si="4"/>
        <v>86.115000000000009</v>
      </c>
      <c r="G54" s="8">
        <f t="shared" si="4"/>
        <v>692.87250000000006</v>
      </c>
      <c r="H54" s="8">
        <f t="shared" si="4"/>
        <v>0.66999999999999993</v>
      </c>
      <c r="I54" s="8">
        <f t="shared" si="4"/>
        <v>44.854999999999997</v>
      </c>
      <c r="J54" s="8">
        <f t="shared" si="4"/>
        <v>50.25</v>
      </c>
      <c r="K54" s="8">
        <f t="shared" si="4"/>
        <v>171.11250000000001</v>
      </c>
      <c r="L54" s="8">
        <f t="shared" si="4"/>
        <v>275.8</v>
      </c>
      <c r="M54" s="8">
        <f t="shared" si="4"/>
        <v>168.86750000000004</v>
      </c>
      <c r="N54" s="8">
        <f t="shared" si="4"/>
        <v>36.144999999999996</v>
      </c>
    </row>
    <row r="55" spans="1:14" s="30" customFormat="1" ht="15.75" x14ac:dyDescent="0.25">
      <c r="B55" s="23" t="s">
        <v>46</v>
      </c>
      <c r="C55" s="11"/>
      <c r="D55" s="4"/>
      <c r="E55" s="4"/>
      <c r="F55" s="4"/>
      <c r="G55" s="4"/>
      <c r="H55" s="7"/>
      <c r="I55" s="7"/>
      <c r="J55" s="7"/>
      <c r="K55" s="7"/>
      <c r="L55" s="7"/>
      <c r="M55" s="7"/>
      <c r="N55" s="7"/>
    </row>
    <row r="56" spans="1:14" s="30" customFormat="1" ht="15.75" x14ac:dyDescent="0.25">
      <c r="B56" s="21" t="s">
        <v>27</v>
      </c>
      <c r="C56" s="3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</row>
    <row r="57" spans="1:14" s="30" customFormat="1" ht="15.75" x14ac:dyDescent="0.25">
      <c r="A57" s="2" t="s">
        <v>65</v>
      </c>
      <c r="B57" s="20" t="s">
        <v>28</v>
      </c>
      <c r="C57" s="12">
        <v>100</v>
      </c>
      <c r="D57" s="7">
        <v>1.41</v>
      </c>
      <c r="E57" s="7">
        <v>6.01</v>
      </c>
      <c r="F57" s="7">
        <v>8.26</v>
      </c>
      <c r="G57" s="6">
        <v>92.8</v>
      </c>
      <c r="H57" s="6">
        <v>0.02</v>
      </c>
      <c r="I57" s="6">
        <v>6.65</v>
      </c>
      <c r="J57" s="6">
        <v>0</v>
      </c>
      <c r="K57" s="6">
        <v>35.5</v>
      </c>
      <c r="L57" s="6">
        <v>40.6</v>
      </c>
      <c r="M57" s="6">
        <v>20.7</v>
      </c>
      <c r="N57" s="6">
        <v>1.32</v>
      </c>
    </row>
    <row r="58" spans="1:14" s="30" customFormat="1" ht="15.75" x14ac:dyDescent="0.25">
      <c r="A58" s="2" t="s">
        <v>87</v>
      </c>
      <c r="B58" s="49" t="s">
        <v>88</v>
      </c>
      <c r="C58" s="1">
        <v>250</v>
      </c>
      <c r="D58" s="7">
        <v>2.75</v>
      </c>
      <c r="E58" s="7">
        <v>4.5</v>
      </c>
      <c r="F58" s="7">
        <v>16.25</v>
      </c>
      <c r="G58" s="7">
        <v>117.5</v>
      </c>
      <c r="H58" s="7">
        <f>0.08*1.25</f>
        <v>0.1</v>
      </c>
      <c r="I58" s="7">
        <f>10.38*1.25</f>
        <v>12.975000000000001</v>
      </c>
      <c r="J58" s="7">
        <v>0</v>
      </c>
      <c r="K58" s="7">
        <f>34.85*1.25</f>
        <v>43.5625</v>
      </c>
      <c r="L58" s="7">
        <f>49.28*1.25</f>
        <v>61.6</v>
      </c>
      <c r="M58" s="7">
        <f>20.75*1.25</f>
        <v>25.9375</v>
      </c>
      <c r="N58" s="7">
        <f>0.78*1.25</f>
        <v>0.97500000000000009</v>
      </c>
    </row>
    <row r="59" spans="1:14" s="30" customFormat="1" ht="15.75" x14ac:dyDescent="0.25">
      <c r="A59" s="2" t="s">
        <v>58</v>
      </c>
      <c r="B59" s="9" t="s">
        <v>31</v>
      </c>
      <c r="C59" s="1">
        <v>180</v>
      </c>
      <c r="D59" s="7">
        <f>6.62*1.11</f>
        <v>7.3482000000000012</v>
      </c>
      <c r="E59" s="7">
        <f>5.42*1.11</f>
        <v>6.0162000000000004</v>
      </c>
      <c r="F59" s="7">
        <f>31.74*1.11</f>
        <v>35.231400000000001</v>
      </c>
      <c r="G59" s="7">
        <f>202.14*1.11</f>
        <v>224.37540000000001</v>
      </c>
      <c r="H59" s="7">
        <f>0.07*1.11</f>
        <v>7.7700000000000019E-2</v>
      </c>
      <c r="I59" s="7">
        <v>0</v>
      </c>
      <c r="J59" s="7">
        <v>0</v>
      </c>
      <c r="K59" s="7">
        <f>5.83*1.1</f>
        <v>6.4130000000000003</v>
      </c>
      <c r="L59" s="7">
        <f>44.6*1.11</f>
        <v>49.506000000000007</v>
      </c>
      <c r="M59" s="7">
        <f>25.34*1.11</f>
        <v>28.127400000000002</v>
      </c>
      <c r="N59" s="7">
        <f>1.32*1.11</f>
        <v>1.4652000000000003</v>
      </c>
    </row>
    <row r="60" spans="1:14" s="30" customFormat="1" ht="15.75" x14ac:dyDescent="0.25">
      <c r="A60" s="2" t="s">
        <v>52</v>
      </c>
      <c r="B60" s="9" t="s">
        <v>53</v>
      </c>
      <c r="C60" s="1">
        <v>100</v>
      </c>
      <c r="D60" s="7">
        <v>15.6</v>
      </c>
      <c r="E60" s="7">
        <v>11.23</v>
      </c>
      <c r="F60" s="7">
        <v>3.52</v>
      </c>
      <c r="G60" s="7">
        <v>185</v>
      </c>
      <c r="H60" s="7">
        <v>0.2</v>
      </c>
      <c r="I60" s="7">
        <v>5.61</v>
      </c>
      <c r="J60" s="7">
        <v>5782</v>
      </c>
      <c r="K60" s="7">
        <v>33.24</v>
      </c>
      <c r="L60" s="7">
        <v>239.32</v>
      </c>
      <c r="M60" s="7">
        <v>17.47</v>
      </c>
      <c r="N60" s="7">
        <v>5</v>
      </c>
    </row>
    <row r="61" spans="1:14" s="22" customFormat="1" ht="15.75" x14ac:dyDescent="0.25">
      <c r="A61" s="2" t="s">
        <v>68</v>
      </c>
      <c r="B61" s="10" t="s">
        <v>29</v>
      </c>
      <c r="C61" s="50">
        <v>200</v>
      </c>
      <c r="D61" s="16">
        <v>0.9</v>
      </c>
      <c r="E61" s="16">
        <v>0.2</v>
      </c>
      <c r="F61" s="16">
        <v>10.8</v>
      </c>
      <c r="G61" s="16">
        <v>47</v>
      </c>
      <c r="H61" s="16">
        <v>0</v>
      </c>
      <c r="I61" s="16">
        <v>13</v>
      </c>
      <c r="J61" s="16">
        <v>0.01</v>
      </c>
      <c r="K61" s="16">
        <v>0.3</v>
      </c>
      <c r="L61" s="16">
        <v>16</v>
      </c>
      <c r="M61" s="16">
        <v>2.2000000000000002</v>
      </c>
      <c r="N61" s="16">
        <v>9</v>
      </c>
    </row>
    <row r="62" spans="1:14" s="30" customFormat="1" ht="15.75" x14ac:dyDescent="0.25">
      <c r="A62" s="2" t="s">
        <v>71</v>
      </c>
      <c r="B62" s="9" t="s">
        <v>16</v>
      </c>
      <c r="C62" s="1">
        <v>35</v>
      </c>
      <c r="D62" s="7">
        <v>2.37</v>
      </c>
      <c r="E62" s="7">
        <v>0.3</v>
      </c>
      <c r="F62" s="7">
        <v>13.86</v>
      </c>
      <c r="G62" s="6">
        <v>70.14</v>
      </c>
      <c r="H62" s="6">
        <v>0.3</v>
      </c>
      <c r="I62" s="6">
        <v>0</v>
      </c>
      <c r="J62" s="6">
        <v>0</v>
      </c>
      <c r="K62" s="6">
        <v>6.9</v>
      </c>
      <c r="L62" s="6">
        <v>26.1</v>
      </c>
      <c r="M62" s="6">
        <v>9.9</v>
      </c>
      <c r="N62" s="7">
        <v>0.33</v>
      </c>
    </row>
    <row r="63" spans="1:14" s="30" customFormat="1" ht="15.75" x14ac:dyDescent="0.25">
      <c r="A63" s="2" t="s">
        <v>71</v>
      </c>
      <c r="B63" s="9" t="s">
        <v>30</v>
      </c>
      <c r="C63" s="1">
        <v>40</v>
      </c>
      <c r="D63" s="7">
        <v>3.16</v>
      </c>
      <c r="E63" s="7">
        <v>0.4</v>
      </c>
      <c r="F63" s="7">
        <v>18.48</v>
      </c>
      <c r="G63" s="7">
        <v>93.52</v>
      </c>
      <c r="H63" s="7">
        <v>0.04</v>
      </c>
      <c r="I63" s="7">
        <v>0</v>
      </c>
      <c r="J63" s="7">
        <v>0</v>
      </c>
      <c r="K63" s="7">
        <v>9.1999999999999993</v>
      </c>
      <c r="L63" s="7">
        <v>34.799999999999997</v>
      </c>
      <c r="M63" s="7">
        <v>13.2</v>
      </c>
      <c r="N63" s="7">
        <v>0.44</v>
      </c>
    </row>
    <row r="64" spans="1:14" s="30" customFormat="1" ht="15.75" x14ac:dyDescent="0.25">
      <c r="B64" s="21" t="s">
        <v>17</v>
      </c>
      <c r="C64" s="3"/>
      <c r="D64" s="8">
        <f t="shared" ref="D64:N64" si="5">SUM(D57:D63)</f>
        <v>33.538200000000003</v>
      </c>
      <c r="E64" s="8">
        <f t="shared" si="5"/>
        <v>28.656199999999998</v>
      </c>
      <c r="F64" s="8">
        <f t="shared" si="5"/>
        <v>106.40140000000001</v>
      </c>
      <c r="G64" s="8">
        <f t="shared" si="5"/>
        <v>830.33540000000005</v>
      </c>
      <c r="H64" s="8">
        <f t="shared" si="5"/>
        <v>0.73770000000000002</v>
      </c>
      <c r="I64" s="8">
        <f t="shared" si="5"/>
        <v>38.234999999999999</v>
      </c>
      <c r="J64" s="8">
        <f t="shared" si="5"/>
        <v>5782.01</v>
      </c>
      <c r="K64" s="8">
        <f t="shared" si="5"/>
        <v>135.1155</v>
      </c>
      <c r="L64" s="8">
        <f t="shared" si="5"/>
        <v>467.92600000000004</v>
      </c>
      <c r="M64" s="8">
        <f t="shared" si="5"/>
        <v>117.53490000000002</v>
      </c>
      <c r="N64" s="8">
        <f t="shared" si="5"/>
        <v>18.530200000000001</v>
      </c>
    </row>
    <row r="65" spans="1:14" s="30" customFormat="1" ht="15.75" x14ac:dyDescent="0.25">
      <c r="B65" s="23" t="s">
        <v>23</v>
      </c>
      <c r="C65" s="11"/>
      <c r="D65" s="4"/>
      <c r="E65" s="4"/>
      <c r="F65" s="4"/>
      <c r="G65" s="4"/>
      <c r="H65" s="7"/>
      <c r="I65" s="7"/>
      <c r="J65" s="7"/>
      <c r="K65" s="7"/>
      <c r="L65" s="7"/>
      <c r="M65" s="7"/>
      <c r="N65" s="7"/>
    </row>
    <row r="66" spans="1:14" s="30" customFormat="1" ht="15.75" x14ac:dyDescent="0.25">
      <c r="B66" s="21" t="s">
        <v>27</v>
      </c>
      <c r="C66" s="3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</row>
    <row r="67" spans="1:14" s="30" customFormat="1" ht="15.75" x14ac:dyDescent="0.25">
      <c r="A67" s="2" t="s">
        <v>65</v>
      </c>
      <c r="B67" s="20" t="s">
        <v>28</v>
      </c>
      <c r="C67" s="12">
        <v>100</v>
      </c>
      <c r="D67" s="7">
        <v>1.41</v>
      </c>
      <c r="E67" s="7">
        <v>6.01</v>
      </c>
      <c r="F67" s="7">
        <v>8.26</v>
      </c>
      <c r="G67" s="6">
        <v>92.8</v>
      </c>
      <c r="H67" s="6">
        <v>0.02</v>
      </c>
      <c r="I67" s="6">
        <v>6.65</v>
      </c>
      <c r="J67" s="6">
        <v>0</v>
      </c>
      <c r="K67" s="6">
        <v>35.5</v>
      </c>
      <c r="L67" s="6">
        <v>40.6</v>
      </c>
      <c r="M67" s="6">
        <v>20.7</v>
      </c>
      <c r="N67" s="6">
        <v>1.32</v>
      </c>
    </row>
    <row r="68" spans="1:14" s="30" customFormat="1" ht="15.75" x14ac:dyDescent="0.25">
      <c r="A68" s="2" t="s">
        <v>85</v>
      </c>
      <c r="B68" s="9" t="s">
        <v>33</v>
      </c>
      <c r="C68" s="1">
        <v>250</v>
      </c>
      <c r="D68" s="7">
        <f>5.49*1.25</f>
        <v>6.8625000000000007</v>
      </c>
      <c r="E68" s="7">
        <f>2.84*1.25</f>
        <v>3.55</v>
      </c>
      <c r="F68" s="7">
        <f>17.45*1.25</f>
        <v>21.8125</v>
      </c>
      <c r="G68" s="7">
        <f>118.25*1.25</f>
        <v>147.8125</v>
      </c>
      <c r="H68" s="7">
        <f>0.11*1.25</f>
        <v>0.13750000000000001</v>
      </c>
      <c r="I68" s="7">
        <f>8.25*1.25</f>
        <v>10.3125</v>
      </c>
      <c r="J68" s="7">
        <v>0</v>
      </c>
      <c r="K68" s="7">
        <f>29.25*1.25</f>
        <v>36.5625</v>
      </c>
      <c r="L68" s="7">
        <f>67.58*1.25</f>
        <v>84.474999999999994</v>
      </c>
      <c r="M68" s="7">
        <f>27.28*1.25</f>
        <v>34.1</v>
      </c>
      <c r="N68" s="7">
        <f>1.13*1.25</f>
        <v>1.4124999999999999</v>
      </c>
    </row>
    <row r="69" spans="1:14" s="30" customFormat="1" ht="15.75" x14ac:dyDescent="0.25">
      <c r="A69" s="2" t="s">
        <v>81</v>
      </c>
      <c r="B69" s="9" t="s">
        <v>38</v>
      </c>
      <c r="C69" s="1">
        <v>100</v>
      </c>
      <c r="D69" s="7">
        <v>31.01</v>
      </c>
      <c r="E69" s="7">
        <v>33.24</v>
      </c>
      <c r="F69" s="7">
        <v>21</v>
      </c>
      <c r="G69" s="6">
        <v>281.3</v>
      </c>
      <c r="H69" s="6">
        <v>7.0000000000000007E-2</v>
      </c>
      <c r="I69" s="6">
        <v>0.75</v>
      </c>
      <c r="J69" s="6">
        <v>66.27</v>
      </c>
      <c r="K69" s="6">
        <v>40.270000000000003</v>
      </c>
      <c r="L69" s="6">
        <v>70.72</v>
      </c>
      <c r="M69" s="6">
        <v>15.08</v>
      </c>
      <c r="N69" s="7">
        <v>1.03</v>
      </c>
    </row>
    <row r="70" spans="1:14" s="30" customFormat="1" ht="15.75" x14ac:dyDescent="0.25">
      <c r="A70" s="2" t="s">
        <v>70</v>
      </c>
      <c r="B70" s="9" t="s">
        <v>39</v>
      </c>
      <c r="C70" s="1">
        <v>180</v>
      </c>
      <c r="D70" s="7">
        <v>10.26</v>
      </c>
      <c r="E70" s="7">
        <v>6.6</v>
      </c>
      <c r="F70" s="7">
        <v>49.68</v>
      </c>
      <c r="G70" s="6">
        <v>298</v>
      </c>
      <c r="H70" s="6">
        <v>0.11</v>
      </c>
      <c r="I70" s="6">
        <v>0</v>
      </c>
      <c r="J70" s="6">
        <v>0</v>
      </c>
      <c r="K70" s="6">
        <v>14.82</v>
      </c>
      <c r="L70" s="6">
        <v>203.93</v>
      </c>
      <c r="M70" s="6">
        <v>135.83000000000001</v>
      </c>
      <c r="N70" s="7">
        <v>4.5599999999999996</v>
      </c>
    </row>
    <row r="71" spans="1:14" s="30" customFormat="1" ht="15.75" x14ac:dyDescent="0.25">
      <c r="A71" s="2" t="s">
        <v>82</v>
      </c>
      <c r="B71" s="10" t="s">
        <v>40</v>
      </c>
      <c r="C71" s="3">
        <v>200</v>
      </c>
      <c r="D71" s="7">
        <v>1</v>
      </c>
      <c r="E71" s="7">
        <v>0</v>
      </c>
      <c r="F71" s="7">
        <v>20.2</v>
      </c>
      <c r="G71" s="6">
        <v>84.8</v>
      </c>
      <c r="H71" s="6">
        <v>0.02</v>
      </c>
      <c r="I71" s="6">
        <v>4</v>
      </c>
      <c r="J71" s="6">
        <v>0</v>
      </c>
      <c r="K71" s="6">
        <v>14</v>
      </c>
      <c r="L71" s="6">
        <v>1.4</v>
      </c>
      <c r="M71" s="6">
        <v>8</v>
      </c>
      <c r="N71" s="7">
        <v>2.8</v>
      </c>
    </row>
    <row r="72" spans="1:14" s="30" customFormat="1" ht="15.75" x14ac:dyDescent="0.25">
      <c r="A72" s="2" t="s">
        <v>71</v>
      </c>
      <c r="B72" s="9" t="s">
        <v>16</v>
      </c>
      <c r="C72" s="1">
        <v>35</v>
      </c>
      <c r="D72" s="7">
        <v>2.37</v>
      </c>
      <c r="E72" s="7">
        <v>0.3</v>
      </c>
      <c r="F72" s="7">
        <v>13.86</v>
      </c>
      <c r="G72" s="6">
        <v>70.14</v>
      </c>
      <c r="H72" s="6">
        <v>0.3</v>
      </c>
      <c r="I72" s="6">
        <v>0</v>
      </c>
      <c r="J72" s="6">
        <v>0</v>
      </c>
      <c r="K72" s="6">
        <v>6.9</v>
      </c>
      <c r="L72" s="6">
        <v>26.1</v>
      </c>
      <c r="M72" s="6">
        <v>9.9</v>
      </c>
      <c r="N72" s="7">
        <v>0.33</v>
      </c>
    </row>
    <row r="73" spans="1:14" s="30" customFormat="1" ht="15.75" x14ac:dyDescent="0.25">
      <c r="A73" s="2" t="s">
        <v>71</v>
      </c>
      <c r="B73" s="9" t="s">
        <v>30</v>
      </c>
      <c r="C73" s="1">
        <v>40</v>
      </c>
      <c r="D73" s="7">
        <v>3.16</v>
      </c>
      <c r="E73" s="7">
        <v>0.4</v>
      </c>
      <c r="F73" s="7">
        <v>18.48</v>
      </c>
      <c r="G73" s="7">
        <v>93.52</v>
      </c>
      <c r="H73" s="7">
        <v>0.04</v>
      </c>
      <c r="I73" s="7">
        <v>0</v>
      </c>
      <c r="J73" s="7">
        <v>0</v>
      </c>
      <c r="K73" s="7">
        <v>9.1999999999999993</v>
      </c>
      <c r="L73" s="7">
        <v>34.799999999999997</v>
      </c>
      <c r="M73" s="7">
        <v>13.2</v>
      </c>
      <c r="N73" s="7">
        <v>0.44</v>
      </c>
    </row>
    <row r="74" spans="1:14" s="30" customFormat="1" ht="15.75" x14ac:dyDescent="0.25">
      <c r="B74" s="21" t="s">
        <v>17</v>
      </c>
      <c r="C74" s="3"/>
      <c r="D74" s="8">
        <f t="shared" ref="D74:N74" si="6">SUM(D67:D73)</f>
        <v>56.072499999999991</v>
      </c>
      <c r="E74" s="8">
        <f t="shared" si="6"/>
        <v>50.099999999999994</v>
      </c>
      <c r="F74" s="8">
        <f t="shared" si="6"/>
        <v>153.29249999999999</v>
      </c>
      <c r="G74" s="8">
        <f t="shared" si="6"/>
        <v>1068.3724999999999</v>
      </c>
      <c r="H74" s="8">
        <f t="shared" si="6"/>
        <v>0.69750000000000001</v>
      </c>
      <c r="I74" s="8">
        <f t="shared" si="6"/>
        <v>21.712499999999999</v>
      </c>
      <c r="J74" s="8">
        <f t="shared" si="6"/>
        <v>66.27</v>
      </c>
      <c r="K74" s="8">
        <f t="shared" si="6"/>
        <v>157.2525</v>
      </c>
      <c r="L74" s="8">
        <f t="shared" si="6"/>
        <v>462.02500000000003</v>
      </c>
      <c r="M74" s="8">
        <f t="shared" si="6"/>
        <v>236.81</v>
      </c>
      <c r="N74" s="8">
        <f t="shared" si="6"/>
        <v>11.892499999999998</v>
      </c>
    </row>
    <row r="75" spans="1:14" s="30" customFormat="1" ht="15.75" x14ac:dyDescent="0.25">
      <c r="B75" s="23" t="s">
        <v>24</v>
      </c>
      <c r="C75" s="18"/>
      <c r="D75" s="19"/>
      <c r="E75" s="19"/>
      <c r="F75" s="19"/>
      <c r="G75" s="19"/>
      <c r="H75" s="7"/>
      <c r="I75" s="7"/>
      <c r="J75" s="7"/>
      <c r="K75" s="7"/>
      <c r="L75" s="7"/>
      <c r="M75" s="7"/>
      <c r="N75" s="7"/>
    </row>
    <row r="76" spans="1:14" s="30" customFormat="1" ht="15.75" x14ac:dyDescent="0.25">
      <c r="B76" s="23" t="s">
        <v>27</v>
      </c>
      <c r="C76" s="11"/>
      <c r="D76" s="4"/>
      <c r="E76" s="4"/>
      <c r="F76" s="4"/>
      <c r="G76" s="4"/>
      <c r="H76" s="7"/>
      <c r="I76" s="7"/>
      <c r="J76" s="7"/>
      <c r="K76" s="7"/>
      <c r="L76" s="7"/>
      <c r="M76" s="7"/>
      <c r="N76" s="7"/>
    </row>
    <row r="77" spans="1:14" s="30" customFormat="1" ht="15.75" x14ac:dyDescent="0.25">
      <c r="A77" s="2" t="s">
        <v>65</v>
      </c>
      <c r="B77" s="20" t="s">
        <v>28</v>
      </c>
      <c r="C77" s="12">
        <v>100</v>
      </c>
      <c r="D77" s="7">
        <v>1.41</v>
      </c>
      <c r="E77" s="7">
        <v>6.01</v>
      </c>
      <c r="F77" s="7">
        <v>8.26</v>
      </c>
      <c r="G77" s="6">
        <v>92.8</v>
      </c>
      <c r="H77" s="6">
        <v>0.02</v>
      </c>
      <c r="I77" s="6">
        <v>6.65</v>
      </c>
      <c r="J77" s="6">
        <v>0</v>
      </c>
      <c r="K77" s="6">
        <v>35.5</v>
      </c>
      <c r="L77" s="6">
        <v>40.6</v>
      </c>
      <c r="M77" s="6">
        <v>20.7</v>
      </c>
      <c r="N77" s="6">
        <v>1.32</v>
      </c>
    </row>
    <row r="78" spans="1:14" s="30" customFormat="1" ht="15.75" x14ac:dyDescent="0.25">
      <c r="A78" s="31" t="s">
        <v>57</v>
      </c>
      <c r="B78" s="39" t="s">
        <v>41</v>
      </c>
      <c r="C78" s="12">
        <v>250</v>
      </c>
      <c r="D78" s="4">
        <v>3.3</v>
      </c>
      <c r="E78" s="4">
        <v>2.7</v>
      </c>
      <c r="F78" s="4">
        <v>24</v>
      </c>
      <c r="G78" s="5">
        <v>135</v>
      </c>
      <c r="H78" s="6">
        <v>0.1</v>
      </c>
      <c r="I78" s="6">
        <v>9.9</v>
      </c>
      <c r="J78" s="6">
        <v>0</v>
      </c>
      <c r="K78" s="6">
        <v>32.04</v>
      </c>
      <c r="L78" s="6">
        <v>67.17</v>
      </c>
      <c r="M78" s="6">
        <v>27.33</v>
      </c>
      <c r="N78" s="7">
        <v>1.05</v>
      </c>
    </row>
    <row r="79" spans="1:14" s="30" customFormat="1" ht="15.75" x14ac:dyDescent="0.25">
      <c r="A79" s="2" t="s">
        <v>79</v>
      </c>
      <c r="B79" s="9" t="s">
        <v>91</v>
      </c>
      <c r="C79" s="3" t="s">
        <v>86</v>
      </c>
      <c r="D79" s="4">
        <v>14.3</v>
      </c>
      <c r="E79" s="4">
        <v>7</v>
      </c>
      <c r="F79" s="4">
        <v>9.6</v>
      </c>
      <c r="G79" s="4">
        <v>156</v>
      </c>
      <c r="H79" s="7">
        <v>0.06</v>
      </c>
      <c r="I79" s="6">
        <v>1.44</v>
      </c>
      <c r="J79" s="6">
        <v>18.5</v>
      </c>
      <c r="K79" s="6">
        <v>63.81</v>
      </c>
      <c r="L79" s="6">
        <v>122.38</v>
      </c>
      <c r="M79" s="6">
        <v>20.350000000000001</v>
      </c>
      <c r="N79" s="7">
        <v>0.63</v>
      </c>
    </row>
    <row r="80" spans="1:14" s="30" customFormat="1" ht="15.75" x14ac:dyDescent="0.25">
      <c r="A80" s="2" t="s">
        <v>70</v>
      </c>
      <c r="B80" s="10" t="s">
        <v>80</v>
      </c>
      <c r="C80" s="1">
        <v>180</v>
      </c>
      <c r="D80" s="7">
        <v>10.26</v>
      </c>
      <c r="E80" s="7">
        <v>6.6</v>
      </c>
      <c r="F80" s="7">
        <v>49.68</v>
      </c>
      <c r="G80" s="6">
        <v>298</v>
      </c>
      <c r="H80" s="6">
        <v>0.18</v>
      </c>
      <c r="I80" s="6">
        <v>22.89</v>
      </c>
      <c r="J80" s="6">
        <v>31.75</v>
      </c>
      <c r="K80" s="6">
        <v>0</v>
      </c>
      <c r="L80" s="6">
        <v>21.68</v>
      </c>
      <c r="M80" s="6">
        <v>88.54</v>
      </c>
      <c r="N80" s="7">
        <v>32.26</v>
      </c>
    </row>
    <row r="81" spans="1:14" s="30" customFormat="1" ht="15.75" x14ac:dyDescent="0.25">
      <c r="A81" s="2" t="s">
        <v>76</v>
      </c>
      <c r="B81" s="10" t="s">
        <v>51</v>
      </c>
      <c r="C81" s="12">
        <v>200</v>
      </c>
      <c r="D81" s="12">
        <v>0.16</v>
      </c>
      <c r="E81" s="12">
        <v>0.16</v>
      </c>
      <c r="F81" s="12">
        <v>27.88</v>
      </c>
      <c r="G81" s="13">
        <v>114.6</v>
      </c>
      <c r="H81" s="6">
        <v>0.01</v>
      </c>
      <c r="I81" s="6">
        <v>0.9</v>
      </c>
      <c r="J81" s="6">
        <v>0</v>
      </c>
      <c r="K81" s="6">
        <v>14.18</v>
      </c>
      <c r="L81" s="6">
        <v>4.4000000000000004</v>
      </c>
      <c r="M81" s="6">
        <v>5.14</v>
      </c>
      <c r="N81" s="7">
        <v>0.95</v>
      </c>
    </row>
    <row r="82" spans="1:14" s="30" customFormat="1" ht="15.75" x14ac:dyDescent="0.25">
      <c r="A82" s="2" t="s">
        <v>71</v>
      </c>
      <c r="B82" s="9" t="s">
        <v>16</v>
      </c>
      <c r="C82" s="1">
        <v>35</v>
      </c>
      <c r="D82" s="7">
        <v>2.37</v>
      </c>
      <c r="E82" s="7">
        <v>0.3</v>
      </c>
      <c r="F82" s="7">
        <v>13.86</v>
      </c>
      <c r="G82" s="6">
        <v>70.14</v>
      </c>
      <c r="H82" s="6">
        <v>0.3</v>
      </c>
      <c r="I82" s="6">
        <v>0</v>
      </c>
      <c r="J82" s="6">
        <v>0</v>
      </c>
      <c r="K82" s="6">
        <v>6.9</v>
      </c>
      <c r="L82" s="6">
        <v>26.1</v>
      </c>
      <c r="M82" s="6">
        <v>9.9</v>
      </c>
      <c r="N82" s="7">
        <v>0.33</v>
      </c>
    </row>
    <row r="83" spans="1:14" s="30" customFormat="1" ht="15.75" x14ac:dyDescent="0.25">
      <c r="A83" s="2" t="s">
        <v>71</v>
      </c>
      <c r="B83" s="9" t="s">
        <v>30</v>
      </c>
      <c r="C83" s="1">
        <v>40</v>
      </c>
      <c r="D83" s="7">
        <v>3.16</v>
      </c>
      <c r="E83" s="7">
        <v>0.4</v>
      </c>
      <c r="F83" s="7">
        <v>18.48</v>
      </c>
      <c r="G83" s="7">
        <v>93.52</v>
      </c>
      <c r="H83" s="7">
        <v>0.04</v>
      </c>
      <c r="I83" s="7">
        <v>0</v>
      </c>
      <c r="J83" s="7">
        <v>0</v>
      </c>
      <c r="K83" s="7">
        <v>9.1999999999999993</v>
      </c>
      <c r="L83" s="7">
        <v>34.799999999999997</v>
      </c>
      <c r="M83" s="7">
        <v>13.2</v>
      </c>
      <c r="N83" s="7">
        <v>0.44</v>
      </c>
    </row>
    <row r="84" spans="1:14" s="30" customFormat="1" ht="15.75" x14ac:dyDescent="0.25">
      <c r="B84" s="24" t="s">
        <v>17</v>
      </c>
      <c r="C84" s="11"/>
      <c r="D84" s="15">
        <f t="shared" ref="D84:N84" si="7">SUM(D77:D83)</f>
        <v>34.960000000000008</v>
      </c>
      <c r="E84" s="15">
        <f t="shared" si="7"/>
        <v>23.17</v>
      </c>
      <c r="F84" s="15">
        <f t="shared" si="7"/>
        <v>151.75999999999996</v>
      </c>
      <c r="G84" s="15">
        <f t="shared" si="7"/>
        <v>960.06</v>
      </c>
      <c r="H84" s="15">
        <f t="shared" si="7"/>
        <v>0.71</v>
      </c>
      <c r="I84" s="15">
        <f t="shared" si="7"/>
        <v>41.78</v>
      </c>
      <c r="J84" s="15">
        <f t="shared" si="7"/>
        <v>50.25</v>
      </c>
      <c r="K84" s="15">
        <f t="shared" si="7"/>
        <v>161.63</v>
      </c>
      <c r="L84" s="15">
        <f t="shared" si="7"/>
        <v>317.13000000000005</v>
      </c>
      <c r="M84" s="15">
        <f t="shared" si="7"/>
        <v>185.16</v>
      </c>
      <c r="N84" s="15">
        <f t="shared" si="7"/>
        <v>36.979999999999997</v>
      </c>
    </row>
    <row r="85" spans="1:14" s="30" customFormat="1" ht="15.75" x14ac:dyDescent="0.25">
      <c r="B85" s="23" t="s">
        <v>47</v>
      </c>
      <c r="C85" s="11"/>
      <c r="D85" s="4"/>
      <c r="E85" s="4"/>
      <c r="F85" s="4"/>
      <c r="G85" s="4"/>
      <c r="H85" s="7"/>
      <c r="I85" s="7"/>
      <c r="J85" s="7"/>
      <c r="K85" s="7"/>
      <c r="L85" s="7"/>
      <c r="M85" s="7"/>
      <c r="N85" s="7"/>
    </row>
    <row r="86" spans="1:14" s="30" customFormat="1" ht="15.75" x14ac:dyDescent="0.25">
      <c r="A86" s="32"/>
      <c r="B86" s="21" t="s">
        <v>27</v>
      </c>
      <c r="C86" s="35"/>
      <c r="D86" s="36"/>
      <c r="E86" s="36"/>
      <c r="F86" s="36"/>
      <c r="G86" s="46"/>
      <c r="H86" s="46"/>
      <c r="I86" s="46"/>
      <c r="J86" s="46"/>
      <c r="K86" s="46"/>
      <c r="L86" s="46"/>
      <c r="M86" s="46"/>
      <c r="N86" s="46"/>
    </row>
    <row r="87" spans="1:14" s="30" customFormat="1" ht="15.75" x14ac:dyDescent="0.25">
      <c r="A87" s="2" t="s">
        <v>65</v>
      </c>
      <c r="B87" s="20" t="s">
        <v>28</v>
      </c>
      <c r="C87" s="12">
        <v>100</v>
      </c>
      <c r="D87" s="7">
        <v>1.41</v>
      </c>
      <c r="E87" s="7">
        <v>6.01</v>
      </c>
      <c r="F87" s="7">
        <v>8.26</v>
      </c>
      <c r="G87" s="6">
        <v>92.8</v>
      </c>
      <c r="H87" s="6">
        <v>0.02</v>
      </c>
      <c r="I87" s="6">
        <v>6.65</v>
      </c>
      <c r="J87" s="6">
        <v>0</v>
      </c>
      <c r="K87" s="6">
        <v>35.5</v>
      </c>
      <c r="L87" s="6">
        <v>40.6</v>
      </c>
      <c r="M87" s="6">
        <v>20.7</v>
      </c>
      <c r="N87" s="6">
        <v>1.32</v>
      </c>
    </row>
    <row r="88" spans="1:14" s="30" customFormat="1" ht="15.75" x14ac:dyDescent="0.25">
      <c r="A88" s="2" t="s">
        <v>83</v>
      </c>
      <c r="B88" s="9" t="s">
        <v>42</v>
      </c>
      <c r="C88" s="1">
        <v>250</v>
      </c>
      <c r="D88" s="7">
        <f>1.49*1.25</f>
        <v>1.8625</v>
      </c>
      <c r="E88" s="7">
        <f>4.91*1.25</f>
        <v>6.1375000000000002</v>
      </c>
      <c r="F88" s="7">
        <f>6.09*1.25</f>
        <v>7.6124999999999998</v>
      </c>
      <c r="G88" s="7">
        <f>76.25*1.25</f>
        <v>95.3125</v>
      </c>
      <c r="H88" s="7">
        <f>0.04*1.25</f>
        <v>0.05</v>
      </c>
      <c r="I88" s="7">
        <f>9.88*1.25</f>
        <v>12.350000000000001</v>
      </c>
      <c r="J88" s="7">
        <v>0</v>
      </c>
      <c r="K88" s="7">
        <f>35.88*1.25</f>
        <v>44.85</v>
      </c>
      <c r="L88" s="7">
        <f>33.58*1.25</f>
        <v>41.974999999999994</v>
      </c>
      <c r="M88" s="7">
        <f>14.88*1.25</f>
        <v>18.600000000000001</v>
      </c>
      <c r="N88" s="7">
        <f>0.58*1.25</f>
        <v>0.72499999999999998</v>
      </c>
    </row>
    <row r="89" spans="1:14" s="30" customFormat="1" ht="15.75" x14ac:dyDescent="0.25">
      <c r="A89" s="2" t="s">
        <v>84</v>
      </c>
      <c r="B89" s="9" t="s">
        <v>93</v>
      </c>
      <c r="C89" s="3" t="s">
        <v>86</v>
      </c>
      <c r="D89" s="7">
        <v>13</v>
      </c>
      <c r="E89" s="7">
        <v>8.1999999999999993</v>
      </c>
      <c r="F89" s="7">
        <v>12</v>
      </c>
      <c r="G89" s="7">
        <v>203.75</v>
      </c>
      <c r="H89" s="7">
        <v>0.11</v>
      </c>
      <c r="I89" s="7">
        <v>0.18</v>
      </c>
      <c r="J89" s="7">
        <v>15.13</v>
      </c>
      <c r="K89" s="7">
        <v>29.36</v>
      </c>
      <c r="L89" s="7">
        <v>124.95</v>
      </c>
      <c r="M89" s="7">
        <v>23.38</v>
      </c>
      <c r="N89" s="7">
        <v>1.7</v>
      </c>
    </row>
    <row r="90" spans="1:14" s="30" customFormat="1" ht="15.75" x14ac:dyDescent="0.25">
      <c r="A90" s="2" t="s">
        <v>70</v>
      </c>
      <c r="B90" s="9" t="s">
        <v>20</v>
      </c>
      <c r="C90" s="1">
        <v>180</v>
      </c>
      <c r="D90" s="7">
        <v>10.26</v>
      </c>
      <c r="E90" s="7">
        <v>6.6</v>
      </c>
      <c r="F90" s="7">
        <v>49.68</v>
      </c>
      <c r="G90" s="6">
        <v>298</v>
      </c>
      <c r="H90" s="6">
        <v>0.11</v>
      </c>
      <c r="I90" s="6">
        <v>0</v>
      </c>
      <c r="J90" s="6">
        <v>0</v>
      </c>
      <c r="K90" s="6">
        <v>14.82</v>
      </c>
      <c r="L90" s="6">
        <v>203.93</v>
      </c>
      <c r="M90" s="6">
        <v>135.83000000000001</v>
      </c>
      <c r="N90" s="7">
        <v>4.5599999999999996</v>
      </c>
    </row>
    <row r="91" spans="1:14" s="30" customFormat="1" ht="15.75" x14ac:dyDescent="0.25">
      <c r="A91" s="2" t="s">
        <v>68</v>
      </c>
      <c r="B91" s="9" t="s">
        <v>43</v>
      </c>
      <c r="C91" s="3">
        <v>200</v>
      </c>
      <c r="D91" s="7">
        <v>0.66</v>
      </c>
      <c r="E91" s="7">
        <v>0.09</v>
      </c>
      <c r="F91" s="7">
        <v>32.01</v>
      </c>
      <c r="G91" s="7">
        <v>132.80000000000001</v>
      </c>
      <c r="H91" s="7">
        <v>0.02</v>
      </c>
      <c r="I91" s="7">
        <v>0.73</v>
      </c>
      <c r="J91" s="7">
        <v>0</v>
      </c>
      <c r="K91" s="7">
        <v>32.479999999999997</v>
      </c>
      <c r="L91" s="7">
        <v>23.44</v>
      </c>
      <c r="M91" s="7">
        <v>17.46</v>
      </c>
      <c r="N91" s="7">
        <v>0.7</v>
      </c>
    </row>
    <row r="92" spans="1:14" s="30" customFormat="1" ht="15.75" x14ac:dyDescent="0.25">
      <c r="A92" s="2" t="s">
        <v>71</v>
      </c>
      <c r="B92" s="9" t="s">
        <v>16</v>
      </c>
      <c r="C92" s="1">
        <v>35</v>
      </c>
      <c r="D92" s="7">
        <v>2.37</v>
      </c>
      <c r="E92" s="7">
        <v>0.3</v>
      </c>
      <c r="F92" s="7">
        <v>13.86</v>
      </c>
      <c r="G92" s="6">
        <v>70.14</v>
      </c>
      <c r="H92" s="6">
        <v>0.3</v>
      </c>
      <c r="I92" s="6">
        <v>0</v>
      </c>
      <c r="J92" s="6">
        <v>0</v>
      </c>
      <c r="K92" s="6">
        <v>6.9</v>
      </c>
      <c r="L92" s="6">
        <v>26.1</v>
      </c>
      <c r="M92" s="6">
        <v>9.9</v>
      </c>
      <c r="N92" s="7">
        <v>0.33</v>
      </c>
    </row>
    <row r="93" spans="1:14" s="30" customFormat="1" ht="15.75" x14ac:dyDescent="0.25">
      <c r="A93" s="2" t="s">
        <v>71</v>
      </c>
      <c r="B93" s="9" t="s">
        <v>30</v>
      </c>
      <c r="C93" s="1">
        <v>40</v>
      </c>
      <c r="D93" s="7">
        <v>3.16</v>
      </c>
      <c r="E93" s="7">
        <v>0.4</v>
      </c>
      <c r="F93" s="7">
        <v>18.48</v>
      </c>
      <c r="G93" s="7">
        <v>93.52</v>
      </c>
      <c r="H93" s="7">
        <v>0.04</v>
      </c>
      <c r="I93" s="7">
        <v>0</v>
      </c>
      <c r="J93" s="7">
        <v>0</v>
      </c>
      <c r="K93" s="7">
        <v>9.1999999999999993</v>
      </c>
      <c r="L93" s="7">
        <v>34.799999999999997</v>
      </c>
      <c r="M93" s="7">
        <v>13.2</v>
      </c>
      <c r="N93" s="7">
        <v>0.44</v>
      </c>
    </row>
    <row r="94" spans="1:14" s="30" customFormat="1" ht="15.75" x14ac:dyDescent="0.25">
      <c r="A94" s="29" t="s">
        <v>50</v>
      </c>
      <c r="B94" s="9" t="s">
        <v>49</v>
      </c>
      <c r="C94" s="1">
        <v>100</v>
      </c>
      <c r="D94" s="33">
        <v>1.5</v>
      </c>
      <c r="E94" s="33">
        <v>0.5</v>
      </c>
      <c r="F94" s="33">
        <v>21</v>
      </c>
      <c r="G94" s="33">
        <v>95</v>
      </c>
      <c r="H94" s="34">
        <v>0.03</v>
      </c>
      <c r="I94" s="34">
        <v>10</v>
      </c>
      <c r="J94" s="34">
        <v>0</v>
      </c>
      <c r="K94" s="34">
        <v>16</v>
      </c>
      <c r="L94" s="37">
        <v>11</v>
      </c>
      <c r="M94" s="33">
        <v>9</v>
      </c>
      <c r="N94" s="33">
        <v>2.2000000000000002</v>
      </c>
    </row>
    <row r="95" spans="1:14" s="30" customFormat="1" ht="15.75" x14ac:dyDescent="0.25">
      <c r="B95" s="21" t="s">
        <v>17</v>
      </c>
      <c r="C95" s="3"/>
      <c r="D95" s="8">
        <f t="shared" ref="D95:N95" si="8">SUM(D87:D93)</f>
        <v>32.722499999999997</v>
      </c>
      <c r="E95" s="8">
        <f t="shared" si="8"/>
        <v>27.737499999999997</v>
      </c>
      <c r="F95" s="8">
        <f t="shared" si="8"/>
        <v>141.9025</v>
      </c>
      <c r="G95" s="8">
        <f t="shared" si="8"/>
        <v>986.32249999999988</v>
      </c>
      <c r="H95" s="8">
        <f t="shared" si="8"/>
        <v>0.65</v>
      </c>
      <c r="I95" s="8">
        <f t="shared" si="8"/>
        <v>19.91</v>
      </c>
      <c r="J95" s="8">
        <f t="shared" si="8"/>
        <v>15.13</v>
      </c>
      <c r="K95" s="8">
        <f t="shared" si="8"/>
        <v>173.10999999999999</v>
      </c>
      <c r="L95" s="8">
        <f t="shared" si="8"/>
        <v>495.79500000000002</v>
      </c>
      <c r="M95" s="8">
        <f t="shared" si="8"/>
        <v>239.07</v>
      </c>
      <c r="N95" s="8">
        <f t="shared" si="8"/>
        <v>9.7749999999999986</v>
      </c>
    </row>
    <row r="96" spans="1:14" s="30" customFormat="1" ht="15.75" x14ac:dyDescent="0.25">
      <c r="B96" s="21" t="s">
        <v>25</v>
      </c>
      <c r="C96" s="3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</row>
    <row r="97" spans="1:14" s="30" customFormat="1" ht="15.75" x14ac:dyDescent="0.25">
      <c r="B97" s="21" t="s">
        <v>27</v>
      </c>
      <c r="C97" s="3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</row>
    <row r="98" spans="1:14" s="30" customFormat="1" ht="15.75" x14ac:dyDescent="0.25">
      <c r="A98" s="2" t="s">
        <v>65</v>
      </c>
      <c r="B98" s="20" t="s">
        <v>28</v>
      </c>
      <c r="C98" s="12">
        <v>100</v>
      </c>
      <c r="D98" s="7">
        <v>1.41</v>
      </c>
      <c r="E98" s="7">
        <v>6.01</v>
      </c>
      <c r="F98" s="7">
        <v>8.26</v>
      </c>
      <c r="G98" s="6">
        <v>92.8</v>
      </c>
      <c r="H98" s="6">
        <v>0.02</v>
      </c>
      <c r="I98" s="6">
        <v>6.65</v>
      </c>
      <c r="J98" s="6">
        <v>0</v>
      </c>
      <c r="K98" s="6">
        <v>35.5</v>
      </c>
      <c r="L98" s="6">
        <v>40.6</v>
      </c>
      <c r="M98" s="6">
        <v>20.7</v>
      </c>
      <c r="N98" s="6">
        <v>1.32</v>
      </c>
    </row>
    <row r="99" spans="1:14" s="30" customFormat="1" ht="15.75" x14ac:dyDescent="0.25">
      <c r="A99" s="2" t="s">
        <v>78</v>
      </c>
      <c r="B99" s="9" t="s">
        <v>36</v>
      </c>
      <c r="C99" s="1">
        <v>250</v>
      </c>
      <c r="D99" s="7">
        <f>2.01*1.25</f>
        <v>2.5124999999999997</v>
      </c>
      <c r="E99" s="7">
        <f>5.09*1.25</f>
        <v>6.3624999999999998</v>
      </c>
      <c r="F99" s="7">
        <f>11.98*1.25</f>
        <v>14.975000000000001</v>
      </c>
      <c r="G99" s="7">
        <f>107.25*1.25</f>
        <v>134.0625</v>
      </c>
      <c r="H99" s="7">
        <f>0.09*1.25</f>
        <v>0.11249999999999999</v>
      </c>
      <c r="I99" s="7">
        <f>8.38*1.25</f>
        <v>10.475000000000001</v>
      </c>
      <c r="J99" s="7">
        <v>0</v>
      </c>
      <c r="K99" s="7">
        <f>29.15*1.25</f>
        <v>36.4375</v>
      </c>
      <c r="L99" s="7">
        <f>56.73*1.25</f>
        <v>70.912499999999994</v>
      </c>
      <c r="M99" s="7">
        <f>24.18*1.25</f>
        <v>30.225000000000001</v>
      </c>
      <c r="N99" s="7">
        <f>0.93*1.25</f>
        <v>1.1625000000000001</v>
      </c>
    </row>
    <row r="100" spans="1:14" s="30" customFormat="1" ht="15.75" x14ac:dyDescent="0.25">
      <c r="A100" s="2" t="s">
        <v>76</v>
      </c>
      <c r="B100" s="9" t="s">
        <v>44</v>
      </c>
      <c r="C100" s="1">
        <v>280</v>
      </c>
      <c r="D100" s="7">
        <v>25.5</v>
      </c>
      <c r="E100" s="7">
        <v>18</v>
      </c>
      <c r="F100" s="7">
        <v>16.66</v>
      </c>
      <c r="G100" s="6">
        <v>377.5</v>
      </c>
      <c r="H100" s="6">
        <v>3.3</v>
      </c>
      <c r="I100" s="6">
        <v>18.88</v>
      </c>
      <c r="J100" s="6">
        <v>3.2</v>
      </c>
      <c r="K100" s="6">
        <v>1095</v>
      </c>
      <c r="L100" s="6">
        <v>64.5</v>
      </c>
      <c r="M100" s="6">
        <v>61.33</v>
      </c>
      <c r="N100" s="7">
        <v>180.33</v>
      </c>
    </row>
    <row r="101" spans="1:14" s="30" customFormat="1" ht="15.75" x14ac:dyDescent="0.25">
      <c r="A101" s="2" t="s">
        <v>67</v>
      </c>
      <c r="B101" s="9" t="s">
        <v>40</v>
      </c>
      <c r="C101" s="3">
        <v>200</v>
      </c>
      <c r="D101" s="7">
        <v>1</v>
      </c>
      <c r="E101" s="7">
        <v>0</v>
      </c>
      <c r="F101" s="7">
        <v>20.2</v>
      </c>
      <c r="G101" s="6">
        <v>84.8</v>
      </c>
      <c r="H101" s="6">
        <v>0.02</v>
      </c>
      <c r="I101" s="6">
        <v>4</v>
      </c>
      <c r="J101" s="6">
        <v>0</v>
      </c>
      <c r="K101" s="6">
        <v>14</v>
      </c>
      <c r="L101" s="6">
        <v>1.4</v>
      </c>
      <c r="M101" s="6">
        <v>8</v>
      </c>
      <c r="N101" s="7">
        <v>2.8</v>
      </c>
    </row>
    <row r="102" spans="1:14" s="30" customFormat="1" ht="15.75" x14ac:dyDescent="0.25">
      <c r="A102" s="2" t="s">
        <v>71</v>
      </c>
      <c r="B102" s="9" t="s">
        <v>16</v>
      </c>
      <c r="C102" s="1">
        <v>35</v>
      </c>
      <c r="D102" s="7">
        <v>2.37</v>
      </c>
      <c r="E102" s="7">
        <v>0.3</v>
      </c>
      <c r="F102" s="7">
        <v>13.86</v>
      </c>
      <c r="G102" s="6">
        <v>70.14</v>
      </c>
      <c r="H102" s="6">
        <v>0.3</v>
      </c>
      <c r="I102" s="6">
        <v>0</v>
      </c>
      <c r="J102" s="6">
        <v>0</v>
      </c>
      <c r="K102" s="6">
        <v>6.9</v>
      </c>
      <c r="L102" s="6">
        <v>26.1</v>
      </c>
      <c r="M102" s="6">
        <v>9.9</v>
      </c>
      <c r="N102" s="7">
        <v>0.33</v>
      </c>
    </row>
    <row r="103" spans="1:14" s="30" customFormat="1" ht="15.75" x14ac:dyDescent="0.25">
      <c r="A103" s="2" t="s">
        <v>71</v>
      </c>
      <c r="B103" s="9" t="s">
        <v>30</v>
      </c>
      <c r="C103" s="1">
        <v>40</v>
      </c>
      <c r="D103" s="7">
        <v>3.16</v>
      </c>
      <c r="E103" s="7">
        <v>0.4</v>
      </c>
      <c r="F103" s="7">
        <v>18.48</v>
      </c>
      <c r="G103" s="7">
        <v>93.52</v>
      </c>
      <c r="H103" s="7">
        <v>0.04</v>
      </c>
      <c r="I103" s="7">
        <v>0</v>
      </c>
      <c r="J103" s="7">
        <v>0</v>
      </c>
      <c r="K103" s="7">
        <v>9.1999999999999993</v>
      </c>
      <c r="L103" s="7">
        <v>34.799999999999997</v>
      </c>
      <c r="M103" s="7">
        <v>13.2</v>
      </c>
      <c r="N103" s="7">
        <v>0.44</v>
      </c>
    </row>
    <row r="104" spans="1:14" s="30" customFormat="1" ht="15.75" x14ac:dyDescent="0.25">
      <c r="A104" s="41"/>
      <c r="B104" s="21" t="s">
        <v>17</v>
      </c>
      <c r="C104" s="3"/>
      <c r="D104" s="8">
        <f t="shared" ref="D104:N104" si="9">SUM(D98:D103)</f>
        <v>35.952500000000001</v>
      </c>
      <c r="E104" s="8">
        <f t="shared" si="9"/>
        <v>31.072499999999998</v>
      </c>
      <c r="F104" s="8">
        <f t="shared" si="9"/>
        <v>92.435000000000002</v>
      </c>
      <c r="G104" s="8">
        <f t="shared" si="9"/>
        <v>852.82249999999988</v>
      </c>
      <c r="H104" s="8">
        <f t="shared" si="9"/>
        <v>3.7924999999999995</v>
      </c>
      <c r="I104" s="8">
        <f t="shared" si="9"/>
        <v>40.004999999999995</v>
      </c>
      <c r="J104" s="8">
        <f t="shared" si="9"/>
        <v>3.2</v>
      </c>
      <c r="K104" s="8">
        <f t="shared" si="9"/>
        <v>1197.0375000000001</v>
      </c>
      <c r="L104" s="8">
        <f t="shared" si="9"/>
        <v>238.3125</v>
      </c>
      <c r="M104" s="8">
        <f t="shared" si="9"/>
        <v>143.35499999999999</v>
      </c>
      <c r="N104" s="8">
        <f t="shared" si="9"/>
        <v>186.38250000000002</v>
      </c>
    </row>
    <row r="105" spans="1:14" ht="80.25" customHeight="1" x14ac:dyDescent="0.25">
      <c r="B105" s="51" t="s">
        <v>26</v>
      </c>
      <c r="C105" s="52"/>
      <c r="D105" s="52"/>
      <c r="E105" s="52"/>
      <c r="F105" s="52"/>
      <c r="G105" s="52"/>
      <c r="H105" s="52"/>
      <c r="I105" s="52"/>
      <c r="J105" s="52"/>
      <c r="K105" s="52"/>
      <c r="L105" s="52"/>
      <c r="M105" s="52"/>
      <c r="N105" s="52"/>
    </row>
  </sheetData>
  <mergeCells count="11">
    <mergeCell ref="B105:N105"/>
    <mergeCell ref="B1:N1"/>
    <mergeCell ref="A3:A4"/>
    <mergeCell ref="B3:B4"/>
    <mergeCell ref="C3:C4"/>
    <mergeCell ref="D3:D4"/>
    <mergeCell ref="E3:E4"/>
    <mergeCell ref="F3:F4"/>
    <mergeCell ref="G3:G4"/>
    <mergeCell ref="H3:J3"/>
    <mergeCell ref="K3:N3"/>
  </mergeCells>
  <pageMargins left="0.7" right="0.7" top="0.75" bottom="0.75" header="0.3" footer="0.3"/>
  <pageSetup paperSize="9" scale="7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льготники 11 старше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2021-01-28T13:38:59Z</dcterms:modified>
</cp:coreProperties>
</file>